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308"/>
  <workbookPr showInkAnnotation="0" autoCompressPictures="0"/>
  <workbookProtection workbookPassword="CA29" lockStructure="1"/>
  <bookViews>
    <workbookView xWindow="60" yWindow="-420" windowWidth="25340" windowHeight="14960" tabRatio="795" activeTab="2"/>
  </bookViews>
  <sheets>
    <sheet name="Instructions" sheetId="9" r:id="rId1"/>
    <sheet name="Inputs" sheetId="8" r:id="rId2"/>
    <sheet name="Results" sheetId="6" r:id="rId3"/>
    <sheet name="NPV Summary" sheetId="7" state="hidden" r:id="rId4"/>
    <sheet name="NPV Analysis" sheetId="1" state="hidden" r:id="rId5"/>
    <sheet name="Regional Fuel Costs" sheetId="2" state="hidden" r:id="rId6"/>
    <sheet name="Regional Energy Requirements" sheetId="4" state="hidden" r:id="rId7"/>
    <sheet name="Capital Cost Structure" sheetId="5" state="hidden" r:id="rId8"/>
    <sheet name="System Efficiencies" sheetId="3" state="hidden" r:id="rId9"/>
  </sheets>
  <definedNames>
    <definedName name="Analysis_Period">'NPV Summary'!$A$60:$A$62</definedName>
    <definedName name="Central_North_Island">'Regional Fuel Costs'!$C$9:$C$11</definedName>
    <definedName name="Climate_Zone_1">'Regional Fuel Costs'!$I$2:$P$2</definedName>
    <definedName name="Climate_Zone_2">'Regional Fuel Costs'!$I$3:$P$3</definedName>
    <definedName name="Climate_Zone_3">'Regional Fuel Costs'!$I$4:$O$4</definedName>
    <definedName name="Climate_Zone_4">'Regional Fuel Costs'!$I$5:$L$5</definedName>
    <definedName name="Climate_Zone_5">'Regional Fuel Costs'!$I$6:$N$6</definedName>
    <definedName name="Climate_Zone_6">'Regional Fuel Costs'!$I$7:$N$7</definedName>
    <definedName name="Climate_Zones">'Regional Fuel Costs'!$H$2:$H$7</definedName>
    <definedName name="Eastern_North_Island">'Regional Fuel Costs'!$C$16:$C$18</definedName>
    <definedName name="Eastern_South_Island">'Regional Fuel Costs'!$C$24:$C$26</definedName>
    <definedName name="Inland_South_Island">'Regional Fuel Costs'!$C$27:$C$29</definedName>
    <definedName name="North_South_Island">'Regional Fuel Costs'!$C$19:$C$20</definedName>
    <definedName name="Northern_North_Island">'Regional Fuel Costs'!$C$3:$C$6</definedName>
    <definedName name="Region">'Regional Fuel Costs'!$B$3:$B$41</definedName>
    <definedName name="South_West_North_Island">'Regional Fuel Costs'!$C$12:$C$15</definedName>
    <definedName name="Southern_South_Island">'Regional Fuel Costs'!$C$30:$C$41</definedName>
    <definedName name="Western_South_Island">'Regional Fuel Costs'!$C$21:$C$23</definedName>
    <definedName name="Zone_1_Locations">'Regional Fuel Costs'!$C$3:$C$10</definedName>
    <definedName name="Zone_2_Locations">'Regional Fuel Costs'!$C$3:$C$10</definedName>
    <definedName name="Zone_3_Locations">'Regional Fuel Costs'!$C$3:$C$10</definedName>
    <definedName name="Zone_Locations">'Regional Fuel Costs'!#REF!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574" i="1" l="1"/>
  <c r="B575" i="1"/>
  <c r="L26" i="8"/>
  <c r="M26" i="8"/>
  <c r="B136" i="1"/>
  <c r="B138" i="1"/>
  <c r="D12" i="8"/>
  <c r="D13" i="8"/>
  <c r="B135" i="1"/>
  <c r="B129" i="1"/>
  <c r="C155" i="1"/>
  <c r="C157" i="1"/>
  <c r="C158" i="1"/>
  <c r="C156" i="1"/>
  <c r="D155" i="1"/>
  <c r="D157" i="1"/>
  <c r="D158" i="1"/>
  <c r="D156" i="1"/>
  <c r="E155" i="1"/>
  <c r="E157" i="1"/>
  <c r="E158" i="1"/>
  <c r="E156" i="1"/>
  <c r="F155" i="1"/>
  <c r="F157" i="1"/>
  <c r="F158" i="1"/>
  <c r="F156" i="1"/>
  <c r="G155" i="1"/>
  <c r="G157" i="1"/>
  <c r="G158" i="1"/>
  <c r="G156" i="1"/>
  <c r="H155" i="1"/>
  <c r="H157" i="1"/>
  <c r="H158" i="1"/>
  <c r="H156" i="1"/>
  <c r="I155" i="1"/>
  <c r="I157" i="1"/>
  <c r="I158" i="1"/>
  <c r="I156" i="1"/>
  <c r="J155" i="1"/>
  <c r="J157" i="1"/>
  <c r="J158" i="1"/>
  <c r="J156" i="1"/>
  <c r="K155" i="1"/>
  <c r="K157" i="1"/>
  <c r="K158" i="1"/>
  <c r="K156" i="1"/>
  <c r="L155" i="1"/>
  <c r="L157" i="1"/>
  <c r="L158" i="1"/>
  <c r="L156" i="1"/>
  <c r="M155" i="1"/>
  <c r="M157" i="1"/>
  <c r="M158" i="1"/>
  <c r="M156" i="1"/>
  <c r="N155" i="1"/>
  <c r="N157" i="1"/>
  <c r="N158" i="1"/>
  <c r="N156" i="1"/>
  <c r="O155" i="1"/>
  <c r="O157" i="1"/>
  <c r="O158" i="1"/>
  <c r="O156" i="1"/>
  <c r="P155" i="1"/>
  <c r="P157" i="1"/>
  <c r="P158" i="1"/>
  <c r="P156" i="1"/>
  <c r="Q155" i="1"/>
  <c r="Q157" i="1"/>
  <c r="Q158" i="1"/>
  <c r="Q156" i="1"/>
  <c r="R155" i="1"/>
  <c r="R157" i="1"/>
  <c r="R158" i="1"/>
  <c r="R156" i="1"/>
  <c r="S155" i="1"/>
  <c r="S157" i="1"/>
  <c r="S158" i="1"/>
  <c r="S156" i="1"/>
  <c r="T155" i="1"/>
  <c r="T157" i="1"/>
  <c r="T158" i="1"/>
  <c r="T156" i="1"/>
  <c r="U155" i="1"/>
  <c r="U157" i="1"/>
  <c r="U158" i="1"/>
  <c r="U156" i="1"/>
  <c r="V155" i="1"/>
  <c r="V157" i="1"/>
  <c r="V158" i="1"/>
  <c r="B157" i="1"/>
  <c r="B158" i="1"/>
  <c r="C167" i="1"/>
  <c r="D15" i="8"/>
  <c r="D16" i="8"/>
  <c r="D10" i="8"/>
  <c r="C26" i="6"/>
  <c r="C23" i="6"/>
  <c r="H36" i="6"/>
  <c r="H35" i="6"/>
  <c r="B4" i="1"/>
  <c r="C28" i="1"/>
  <c r="D28" i="1"/>
  <c r="E28" i="1"/>
  <c r="F28" i="1"/>
  <c r="H23" i="8"/>
  <c r="I23" i="8"/>
  <c r="B18" i="1"/>
  <c r="G25" i="1"/>
  <c r="G27" i="1"/>
  <c r="G28" i="1"/>
  <c r="H28" i="1"/>
  <c r="I28" i="1"/>
  <c r="J28" i="1"/>
  <c r="K28" i="1"/>
  <c r="L25" i="1"/>
  <c r="L27" i="1"/>
  <c r="L28" i="1"/>
  <c r="M28" i="1"/>
  <c r="N28" i="1"/>
  <c r="O28" i="1"/>
  <c r="P28" i="1"/>
  <c r="Q25" i="1"/>
  <c r="Q27" i="1"/>
  <c r="Q28" i="1"/>
  <c r="R28" i="1"/>
  <c r="S28" i="1"/>
  <c r="T28" i="1"/>
  <c r="U28" i="1"/>
  <c r="V25" i="1"/>
  <c r="V27" i="1"/>
  <c r="V28" i="1"/>
  <c r="B23" i="1"/>
  <c r="B21" i="1"/>
  <c r="B27" i="1"/>
  <c r="B28" i="1"/>
  <c r="B5" i="1"/>
  <c r="B20" i="1"/>
  <c r="B26" i="1"/>
  <c r="B19" i="1"/>
  <c r="C26" i="1"/>
  <c r="D26" i="1"/>
  <c r="E26" i="1"/>
  <c r="F26" i="1"/>
  <c r="G26" i="1"/>
  <c r="H26" i="1"/>
  <c r="I26" i="1"/>
  <c r="J26" i="1"/>
  <c r="K26" i="1"/>
  <c r="L26" i="1"/>
  <c r="M26" i="1"/>
  <c r="N26" i="1"/>
  <c r="O26" i="1"/>
  <c r="P26" i="1"/>
  <c r="Q26" i="1"/>
  <c r="R26" i="1"/>
  <c r="S26" i="1"/>
  <c r="T26" i="1"/>
  <c r="U26" i="1"/>
  <c r="V26" i="1"/>
  <c r="C44" i="1"/>
  <c r="J36" i="8"/>
  <c r="K36" i="8"/>
  <c r="H48" i="6"/>
  <c r="J25" i="8"/>
  <c r="K25" i="8"/>
  <c r="H37" i="6"/>
  <c r="J24" i="8"/>
  <c r="K24" i="8"/>
  <c r="J23" i="8"/>
  <c r="K23" i="8"/>
  <c r="G35" i="6"/>
  <c r="D48" i="6"/>
  <c r="H36" i="8"/>
  <c r="I36" i="8"/>
  <c r="G48" i="6"/>
  <c r="H25" i="8"/>
  <c r="I25" i="8"/>
  <c r="G37" i="6"/>
  <c r="H24" i="8"/>
  <c r="I24" i="8"/>
  <c r="G36" i="6"/>
  <c r="B568" i="1"/>
  <c r="B565" i="1"/>
  <c r="B96" i="1"/>
  <c r="B57" i="1"/>
  <c r="L34" i="8"/>
  <c r="M34" i="8"/>
  <c r="B480" i="1"/>
  <c r="B482" i="1"/>
  <c r="B473" i="1"/>
  <c r="C499" i="1"/>
  <c r="B475" i="1"/>
  <c r="J34" i="8"/>
  <c r="K34" i="8"/>
  <c r="B476" i="1"/>
  <c r="B478" i="1"/>
  <c r="B479" i="1"/>
  <c r="C501" i="1"/>
  <c r="H34" i="8"/>
  <c r="I34" i="8"/>
  <c r="B483" i="1"/>
  <c r="C496" i="1"/>
  <c r="C504" i="1"/>
  <c r="B474" i="1"/>
  <c r="C500" i="1"/>
  <c r="D499" i="1"/>
  <c r="D501" i="1"/>
  <c r="B484" i="1"/>
  <c r="D495" i="1"/>
  <c r="D496" i="1"/>
  <c r="D504" i="1"/>
  <c r="D500" i="1"/>
  <c r="E499" i="1"/>
  <c r="E501" i="1"/>
  <c r="E495" i="1"/>
  <c r="E496" i="1"/>
  <c r="E504" i="1"/>
  <c r="E500" i="1"/>
  <c r="F499" i="1"/>
  <c r="F501" i="1"/>
  <c r="F495" i="1"/>
  <c r="F496" i="1"/>
  <c r="F504" i="1"/>
  <c r="F500" i="1"/>
  <c r="G499" i="1"/>
  <c r="G501" i="1"/>
  <c r="G495" i="1"/>
  <c r="G496" i="1"/>
  <c r="G504" i="1"/>
  <c r="G500" i="1"/>
  <c r="H499" i="1"/>
  <c r="H501" i="1"/>
  <c r="H495" i="1"/>
  <c r="H496" i="1"/>
  <c r="H504" i="1"/>
  <c r="H500" i="1"/>
  <c r="I499" i="1"/>
  <c r="I501" i="1"/>
  <c r="I495" i="1"/>
  <c r="I496" i="1"/>
  <c r="I504" i="1"/>
  <c r="I500" i="1"/>
  <c r="J499" i="1"/>
  <c r="J501" i="1"/>
  <c r="J495" i="1"/>
  <c r="J496" i="1"/>
  <c r="J504" i="1"/>
  <c r="J500" i="1"/>
  <c r="K499" i="1"/>
  <c r="K501" i="1"/>
  <c r="K495" i="1"/>
  <c r="K496" i="1"/>
  <c r="K504" i="1"/>
  <c r="K500" i="1"/>
  <c r="L499" i="1"/>
  <c r="L501" i="1"/>
  <c r="L495" i="1"/>
  <c r="L496" i="1"/>
  <c r="L504" i="1"/>
  <c r="L500" i="1"/>
  <c r="M499" i="1"/>
  <c r="M501" i="1"/>
  <c r="M495" i="1"/>
  <c r="M496" i="1"/>
  <c r="M504" i="1"/>
  <c r="M500" i="1"/>
  <c r="N499" i="1"/>
  <c r="N501" i="1"/>
  <c r="N495" i="1"/>
  <c r="N496" i="1"/>
  <c r="N504" i="1"/>
  <c r="N500" i="1"/>
  <c r="O499" i="1"/>
  <c r="O501" i="1"/>
  <c r="O495" i="1"/>
  <c r="O496" i="1"/>
  <c r="O504" i="1"/>
  <c r="O500" i="1"/>
  <c r="P499" i="1"/>
  <c r="P501" i="1"/>
  <c r="P495" i="1"/>
  <c r="P496" i="1"/>
  <c r="P504" i="1"/>
  <c r="P500" i="1"/>
  <c r="Q499" i="1"/>
  <c r="Q501" i="1"/>
  <c r="Q490" i="1"/>
  <c r="Q492" i="1"/>
  <c r="Q495" i="1"/>
  <c r="Q496" i="1"/>
  <c r="Q504" i="1"/>
  <c r="Q500" i="1"/>
  <c r="R499" i="1"/>
  <c r="R501" i="1"/>
  <c r="R496" i="1"/>
  <c r="R504" i="1"/>
  <c r="R500" i="1"/>
  <c r="S499" i="1"/>
  <c r="S501" i="1"/>
  <c r="S495" i="1"/>
  <c r="S496" i="1"/>
  <c r="S504" i="1"/>
  <c r="S500" i="1"/>
  <c r="T499" i="1"/>
  <c r="T501" i="1"/>
  <c r="T495" i="1"/>
  <c r="T496" i="1"/>
  <c r="T504" i="1"/>
  <c r="T500" i="1"/>
  <c r="U499" i="1"/>
  <c r="U501" i="1"/>
  <c r="U495" i="1"/>
  <c r="U496" i="1"/>
  <c r="U504" i="1"/>
  <c r="U500" i="1"/>
  <c r="V499" i="1"/>
  <c r="V501" i="1"/>
  <c r="V495" i="1"/>
  <c r="V496" i="1"/>
  <c r="V504" i="1"/>
  <c r="B501" i="1"/>
  <c r="B488" i="1"/>
  <c r="B486" i="1"/>
  <c r="B492" i="1"/>
  <c r="B496" i="1"/>
  <c r="B504" i="1"/>
  <c r="B491" i="1"/>
  <c r="C491" i="1"/>
  <c r="D491" i="1"/>
  <c r="E491" i="1"/>
  <c r="F491" i="1"/>
  <c r="G491" i="1"/>
  <c r="H491" i="1"/>
  <c r="I491" i="1"/>
  <c r="J491" i="1"/>
  <c r="K491" i="1"/>
  <c r="L491" i="1"/>
  <c r="M491" i="1"/>
  <c r="N491" i="1"/>
  <c r="O491" i="1"/>
  <c r="P491" i="1"/>
  <c r="Q491" i="1"/>
  <c r="R491" i="1"/>
  <c r="S491" i="1"/>
  <c r="T491" i="1"/>
  <c r="U491" i="1"/>
  <c r="V491" i="1"/>
  <c r="B485" i="1"/>
  <c r="C507" i="1"/>
  <c r="P56" i="7"/>
  <c r="A3" i="6"/>
  <c r="A56" i="7"/>
  <c r="I15" i="6"/>
  <c r="F48" i="6"/>
  <c r="F37" i="6"/>
  <c r="F36" i="6"/>
  <c r="F35" i="6"/>
  <c r="L35" i="8"/>
  <c r="M35" i="8"/>
  <c r="B523" i="1"/>
  <c r="B525" i="1"/>
  <c r="B522" i="1"/>
  <c r="B516" i="1"/>
  <c r="C542" i="1"/>
  <c r="B517" i="1"/>
  <c r="C543" i="1"/>
  <c r="D542" i="1"/>
  <c r="D543" i="1"/>
  <c r="E542" i="1"/>
  <c r="E543" i="1"/>
  <c r="F542" i="1"/>
  <c r="F543" i="1"/>
  <c r="G542" i="1"/>
  <c r="G543" i="1"/>
  <c r="H542" i="1"/>
  <c r="H543" i="1"/>
  <c r="I542" i="1"/>
  <c r="I543" i="1"/>
  <c r="J542" i="1"/>
  <c r="J543" i="1"/>
  <c r="K542" i="1"/>
  <c r="K543" i="1"/>
  <c r="L542" i="1"/>
  <c r="L543" i="1"/>
  <c r="M542" i="1"/>
  <c r="M543" i="1"/>
  <c r="N542" i="1"/>
  <c r="N543" i="1"/>
  <c r="O542" i="1"/>
  <c r="O543" i="1"/>
  <c r="P542" i="1"/>
  <c r="P543" i="1"/>
  <c r="Q542" i="1"/>
  <c r="Q543" i="1"/>
  <c r="R542" i="1"/>
  <c r="R543" i="1"/>
  <c r="S542" i="1"/>
  <c r="S543" i="1"/>
  <c r="T542" i="1"/>
  <c r="T543" i="1"/>
  <c r="U542" i="1"/>
  <c r="U543" i="1"/>
  <c r="V542" i="1"/>
  <c r="V543" i="1"/>
  <c r="W542" i="1"/>
  <c r="W543" i="1"/>
  <c r="X542" i="1"/>
  <c r="X543" i="1"/>
  <c r="Y542" i="1"/>
  <c r="Y543" i="1"/>
  <c r="Z542" i="1"/>
  <c r="Z543" i="1"/>
  <c r="AA542" i="1"/>
  <c r="B518" i="1"/>
  <c r="J35" i="8"/>
  <c r="K35" i="8"/>
  <c r="B519" i="1"/>
  <c r="B521" i="1"/>
  <c r="AA544" i="1"/>
  <c r="Z544" i="1"/>
  <c r="Y544" i="1"/>
  <c r="X544" i="1"/>
  <c r="W544" i="1"/>
  <c r="V544" i="1"/>
  <c r="U544" i="1"/>
  <c r="T544" i="1"/>
  <c r="S544" i="1"/>
  <c r="R544" i="1"/>
  <c r="Q544" i="1"/>
  <c r="P544" i="1"/>
  <c r="O544" i="1"/>
  <c r="N544" i="1"/>
  <c r="M544" i="1"/>
  <c r="L544" i="1"/>
  <c r="K544" i="1"/>
  <c r="J544" i="1"/>
  <c r="I544" i="1"/>
  <c r="H544" i="1"/>
  <c r="G544" i="1"/>
  <c r="F544" i="1"/>
  <c r="E544" i="1"/>
  <c r="D544" i="1"/>
  <c r="C544" i="1"/>
  <c r="B544" i="1"/>
  <c r="V500" i="1"/>
  <c r="W499" i="1"/>
  <c r="W500" i="1"/>
  <c r="X499" i="1"/>
  <c r="X500" i="1"/>
  <c r="Y499" i="1"/>
  <c r="Y500" i="1"/>
  <c r="Z499" i="1"/>
  <c r="Z500" i="1"/>
  <c r="AA499" i="1"/>
  <c r="AA501" i="1"/>
  <c r="Z501" i="1"/>
  <c r="Y501" i="1"/>
  <c r="X501" i="1"/>
  <c r="W501" i="1"/>
  <c r="L33" i="8"/>
  <c r="M33" i="8"/>
  <c r="B437" i="1"/>
  <c r="B439" i="1"/>
  <c r="B436" i="1"/>
  <c r="B432" i="1"/>
  <c r="J33" i="8"/>
  <c r="K33" i="8"/>
  <c r="B433" i="1"/>
  <c r="B435" i="1"/>
  <c r="B458" i="1"/>
  <c r="B430" i="1"/>
  <c r="C456" i="1"/>
  <c r="B431" i="1"/>
  <c r="C457" i="1"/>
  <c r="D456" i="1"/>
  <c r="D457" i="1"/>
  <c r="E456" i="1"/>
  <c r="E457" i="1"/>
  <c r="F456" i="1"/>
  <c r="F457" i="1"/>
  <c r="G456" i="1"/>
  <c r="G457" i="1"/>
  <c r="H456" i="1"/>
  <c r="H457" i="1"/>
  <c r="I456" i="1"/>
  <c r="I457" i="1"/>
  <c r="J456" i="1"/>
  <c r="J457" i="1"/>
  <c r="K456" i="1"/>
  <c r="K457" i="1"/>
  <c r="L456" i="1"/>
  <c r="L457" i="1"/>
  <c r="M456" i="1"/>
  <c r="M457" i="1"/>
  <c r="N456" i="1"/>
  <c r="N457" i="1"/>
  <c r="O456" i="1"/>
  <c r="O457" i="1"/>
  <c r="P456" i="1"/>
  <c r="P457" i="1"/>
  <c r="Q456" i="1"/>
  <c r="Q457" i="1"/>
  <c r="R456" i="1"/>
  <c r="R457" i="1"/>
  <c r="S456" i="1"/>
  <c r="S457" i="1"/>
  <c r="T456" i="1"/>
  <c r="T457" i="1"/>
  <c r="U456" i="1"/>
  <c r="U457" i="1"/>
  <c r="V456" i="1"/>
  <c r="V457" i="1"/>
  <c r="W456" i="1"/>
  <c r="W457" i="1"/>
  <c r="X456" i="1"/>
  <c r="X457" i="1"/>
  <c r="Y456" i="1"/>
  <c r="Y457" i="1"/>
  <c r="Z456" i="1"/>
  <c r="Z457" i="1"/>
  <c r="AA456" i="1"/>
  <c r="AA458" i="1"/>
  <c r="Z458" i="1"/>
  <c r="Y458" i="1"/>
  <c r="X458" i="1"/>
  <c r="W458" i="1"/>
  <c r="V458" i="1"/>
  <c r="U458" i="1"/>
  <c r="T458" i="1"/>
  <c r="S458" i="1"/>
  <c r="R458" i="1"/>
  <c r="Q458" i="1"/>
  <c r="P458" i="1"/>
  <c r="O458" i="1"/>
  <c r="N458" i="1"/>
  <c r="M458" i="1"/>
  <c r="L458" i="1"/>
  <c r="K458" i="1"/>
  <c r="J458" i="1"/>
  <c r="I458" i="1"/>
  <c r="H458" i="1"/>
  <c r="G458" i="1"/>
  <c r="F458" i="1"/>
  <c r="E458" i="1"/>
  <c r="D458" i="1"/>
  <c r="C458" i="1"/>
  <c r="L32" i="8"/>
  <c r="M32" i="8"/>
  <c r="B394" i="1"/>
  <c r="B396" i="1"/>
  <c r="B393" i="1"/>
  <c r="B389" i="1"/>
  <c r="J32" i="8"/>
  <c r="K32" i="8"/>
  <c r="B390" i="1"/>
  <c r="B392" i="1"/>
  <c r="B415" i="1"/>
  <c r="B387" i="1"/>
  <c r="C413" i="1"/>
  <c r="B388" i="1"/>
  <c r="C414" i="1"/>
  <c r="D413" i="1"/>
  <c r="D414" i="1"/>
  <c r="E413" i="1"/>
  <c r="E414" i="1"/>
  <c r="F413" i="1"/>
  <c r="F414" i="1"/>
  <c r="G413" i="1"/>
  <c r="G414" i="1"/>
  <c r="H413" i="1"/>
  <c r="H414" i="1"/>
  <c r="I413" i="1"/>
  <c r="I414" i="1"/>
  <c r="J413" i="1"/>
  <c r="J414" i="1"/>
  <c r="K413" i="1"/>
  <c r="K414" i="1"/>
  <c r="L413" i="1"/>
  <c r="L414" i="1"/>
  <c r="M413" i="1"/>
  <c r="M414" i="1"/>
  <c r="N413" i="1"/>
  <c r="N414" i="1"/>
  <c r="O413" i="1"/>
  <c r="O414" i="1"/>
  <c r="P413" i="1"/>
  <c r="P414" i="1"/>
  <c r="Q413" i="1"/>
  <c r="Q414" i="1"/>
  <c r="R413" i="1"/>
  <c r="R414" i="1"/>
  <c r="S413" i="1"/>
  <c r="S414" i="1"/>
  <c r="T413" i="1"/>
  <c r="T414" i="1"/>
  <c r="U413" i="1"/>
  <c r="U414" i="1"/>
  <c r="V413" i="1"/>
  <c r="V414" i="1"/>
  <c r="W413" i="1"/>
  <c r="W414" i="1"/>
  <c r="X413" i="1"/>
  <c r="X414" i="1"/>
  <c r="Y413" i="1"/>
  <c r="Y414" i="1"/>
  <c r="Z413" i="1"/>
  <c r="Z414" i="1"/>
  <c r="AA413" i="1"/>
  <c r="AA415" i="1"/>
  <c r="Z415" i="1"/>
  <c r="Y415" i="1"/>
  <c r="X415" i="1"/>
  <c r="W415" i="1"/>
  <c r="V415" i="1"/>
  <c r="U415" i="1"/>
  <c r="T415" i="1"/>
  <c r="S415" i="1"/>
  <c r="R415" i="1"/>
  <c r="Q415" i="1"/>
  <c r="P415" i="1"/>
  <c r="O415" i="1"/>
  <c r="N415" i="1"/>
  <c r="M415" i="1"/>
  <c r="L415" i="1"/>
  <c r="K415" i="1"/>
  <c r="J415" i="1"/>
  <c r="I415" i="1"/>
  <c r="H415" i="1"/>
  <c r="G415" i="1"/>
  <c r="F415" i="1"/>
  <c r="E415" i="1"/>
  <c r="D415" i="1"/>
  <c r="C415" i="1"/>
  <c r="L31" i="8"/>
  <c r="M31" i="8"/>
  <c r="B351" i="1"/>
  <c r="B353" i="1"/>
  <c r="B350" i="1"/>
  <c r="B346" i="1"/>
  <c r="J31" i="8"/>
  <c r="K31" i="8"/>
  <c r="B347" i="1"/>
  <c r="B349" i="1"/>
  <c r="B372" i="1"/>
  <c r="B344" i="1"/>
  <c r="C370" i="1"/>
  <c r="B345" i="1"/>
  <c r="C371" i="1"/>
  <c r="D370" i="1"/>
  <c r="D371" i="1"/>
  <c r="E370" i="1"/>
  <c r="E371" i="1"/>
  <c r="F370" i="1"/>
  <c r="F371" i="1"/>
  <c r="G370" i="1"/>
  <c r="G371" i="1"/>
  <c r="H370" i="1"/>
  <c r="H371" i="1"/>
  <c r="I370" i="1"/>
  <c r="I371" i="1"/>
  <c r="J370" i="1"/>
  <c r="J371" i="1"/>
  <c r="K370" i="1"/>
  <c r="K371" i="1"/>
  <c r="L370" i="1"/>
  <c r="L371" i="1"/>
  <c r="M370" i="1"/>
  <c r="M371" i="1"/>
  <c r="N370" i="1"/>
  <c r="N371" i="1"/>
  <c r="O370" i="1"/>
  <c r="O371" i="1"/>
  <c r="P370" i="1"/>
  <c r="P371" i="1"/>
  <c r="Q370" i="1"/>
  <c r="Q371" i="1"/>
  <c r="R370" i="1"/>
  <c r="R371" i="1"/>
  <c r="S370" i="1"/>
  <c r="S371" i="1"/>
  <c r="T370" i="1"/>
  <c r="T371" i="1"/>
  <c r="U370" i="1"/>
  <c r="U371" i="1"/>
  <c r="V370" i="1"/>
  <c r="V371" i="1"/>
  <c r="W370" i="1"/>
  <c r="W371" i="1"/>
  <c r="X370" i="1"/>
  <c r="X371" i="1"/>
  <c r="Y370" i="1"/>
  <c r="Y371" i="1"/>
  <c r="Z370" i="1"/>
  <c r="Z371" i="1"/>
  <c r="AA370" i="1"/>
  <c r="AA372" i="1"/>
  <c r="Z372" i="1"/>
  <c r="Y372" i="1"/>
  <c r="X372" i="1"/>
  <c r="W372" i="1"/>
  <c r="V372" i="1"/>
  <c r="U372" i="1"/>
  <c r="T372" i="1"/>
  <c r="S372" i="1"/>
  <c r="R372" i="1"/>
  <c r="Q372" i="1"/>
  <c r="P372" i="1"/>
  <c r="O372" i="1"/>
  <c r="N372" i="1"/>
  <c r="M372" i="1"/>
  <c r="L372" i="1"/>
  <c r="K372" i="1"/>
  <c r="J372" i="1"/>
  <c r="I372" i="1"/>
  <c r="H372" i="1"/>
  <c r="G372" i="1"/>
  <c r="F372" i="1"/>
  <c r="E372" i="1"/>
  <c r="D372" i="1"/>
  <c r="C372" i="1"/>
  <c r="L30" i="8"/>
  <c r="M30" i="8"/>
  <c r="B308" i="1"/>
  <c r="B310" i="1"/>
  <c r="B307" i="1"/>
  <c r="B303" i="1"/>
  <c r="J30" i="8"/>
  <c r="K30" i="8"/>
  <c r="B304" i="1"/>
  <c r="B306" i="1"/>
  <c r="B329" i="1"/>
  <c r="B301" i="1"/>
  <c r="C327" i="1"/>
  <c r="B302" i="1"/>
  <c r="C328" i="1"/>
  <c r="D327" i="1"/>
  <c r="D328" i="1"/>
  <c r="E327" i="1"/>
  <c r="E328" i="1"/>
  <c r="F327" i="1"/>
  <c r="F328" i="1"/>
  <c r="G327" i="1"/>
  <c r="G328" i="1"/>
  <c r="H327" i="1"/>
  <c r="H328" i="1"/>
  <c r="I327" i="1"/>
  <c r="I328" i="1"/>
  <c r="J327" i="1"/>
  <c r="J328" i="1"/>
  <c r="K327" i="1"/>
  <c r="K328" i="1"/>
  <c r="L327" i="1"/>
  <c r="L328" i="1"/>
  <c r="M327" i="1"/>
  <c r="M328" i="1"/>
  <c r="N327" i="1"/>
  <c r="N328" i="1"/>
  <c r="O327" i="1"/>
  <c r="O328" i="1"/>
  <c r="P327" i="1"/>
  <c r="P328" i="1"/>
  <c r="Q327" i="1"/>
  <c r="Q328" i="1"/>
  <c r="R327" i="1"/>
  <c r="R328" i="1"/>
  <c r="S327" i="1"/>
  <c r="S328" i="1"/>
  <c r="T327" i="1"/>
  <c r="T328" i="1"/>
  <c r="U327" i="1"/>
  <c r="U328" i="1"/>
  <c r="V327" i="1"/>
  <c r="V328" i="1"/>
  <c r="W327" i="1"/>
  <c r="W328" i="1"/>
  <c r="X327" i="1"/>
  <c r="X328" i="1"/>
  <c r="Y327" i="1"/>
  <c r="Y328" i="1"/>
  <c r="Z327" i="1"/>
  <c r="Z328" i="1"/>
  <c r="AA327" i="1"/>
  <c r="AA329" i="1"/>
  <c r="Z329" i="1"/>
  <c r="Y329" i="1"/>
  <c r="X329" i="1"/>
  <c r="W329" i="1"/>
  <c r="V329" i="1"/>
  <c r="U329" i="1"/>
  <c r="T329" i="1"/>
  <c r="S329" i="1"/>
  <c r="R329" i="1"/>
  <c r="Q329" i="1"/>
  <c r="P329" i="1"/>
  <c r="O329" i="1"/>
  <c r="N329" i="1"/>
  <c r="M329" i="1"/>
  <c r="L329" i="1"/>
  <c r="K329" i="1"/>
  <c r="J329" i="1"/>
  <c r="I329" i="1"/>
  <c r="H329" i="1"/>
  <c r="G329" i="1"/>
  <c r="F329" i="1"/>
  <c r="E329" i="1"/>
  <c r="D329" i="1"/>
  <c r="C329" i="1"/>
  <c r="L29" i="8"/>
  <c r="M29" i="8"/>
  <c r="B265" i="1"/>
  <c r="B267" i="1"/>
  <c r="B264" i="1"/>
  <c r="B260" i="1"/>
  <c r="J29" i="8"/>
  <c r="K29" i="8"/>
  <c r="B261" i="1"/>
  <c r="B263" i="1"/>
  <c r="B286" i="1"/>
  <c r="B258" i="1"/>
  <c r="C284" i="1"/>
  <c r="B259" i="1"/>
  <c r="C285" i="1"/>
  <c r="D284" i="1"/>
  <c r="D285" i="1"/>
  <c r="E284" i="1"/>
  <c r="E285" i="1"/>
  <c r="F284" i="1"/>
  <c r="F285" i="1"/>
  <c r="G284" i="1"/>
  <c r="G285" i="1"/>
  <c r="H284" i="1"/>
  <c r="H285" i="1"/>
  <c r="I284" i="1"/>
  <c r="I285" i="1"/>
  <c r="J284" i="1"/>
  <c r="J285" i="1"/>
  <c r="K284" i="1"/>
  <c r="K285" i="1"/>
  <c r="L284" i="1"/>
  <c r="L285" i="1"/>
  <c r="M284" i="1"/>
  <c r="M285" i="1"/>
  <c r="N284" i="1"/>
  <c r="N285" i="1"/>
  <c r="O284" i="1"/>
  <c r="O285" i="1"/>
  <c r="P284" i="1"/>
  <c r="P285" i="1"/>
  <c r="Q284" i="1"/>
  <c r="Q285" i="1"/>
  <c r="R284" i="1"/>
  <c r="R285" i="1"/>
  <c r="S284" i="1"/>
  <c r="S285" i="1"/>
  <c r="T284" i="1"/>
  <c r="T285" i="1"/>
  <c r="U284" i="1"/>
  <c r="U285" i="1"/>
  <c r="V284" i="1"/>
  <c r="V285" i="1"/>
  <c r="W284" i="1"/>
  <c r="W285" i="1"/>
  <c r="X284" i="1"/>
  <c r="X285" i="1"/>
  <c r="Y284" i="1"/>
  <c r="Y285" i="1"/>
  <c r="Z284" i="1"/>
  <c r="Z285" i="1"/>
  <c r="AA284" i="1"/>
  <c r="AA286" i="1"/>
  <c r="Z286" i="1"/>
  <c r="Y286" i="1"/>
  <c r="X286" i="1"/>
  <c r="W286" i="1"/>
  <c r="V286" i="1"/>
  <c r="U286" i="1"/>
  <c r="T286" i="1"/>
  <c r="S286" i="1"/>
  <c r="R286" i="1"/>
  <c r="Q286" i="1"/>
  <c r="P286" i="1"/>
  <c r="O286" i="1"/>
  <c r="N286" i="1"/>
  <c r="M286" i="1"/>
  <c r="L286" i="1"/>
  <c r="K286" i="1"/>
  <c r="J286" i="1"/>
  <c r="I286" i="1"/>
  <c r="H286" i="1"/>
  <c r="G286" i="1"/>
  <c r="F286" i="1"/>
  <c r="E286" i="1"/>
  <c r="D286" i="1"/>
  <c r="C286" i="1"/>
  <c r="L28" i="8"/>
  <c r="M28" i="8"/>
  <c r="B222" i="1"/>
  <c r="B224" i="1"/>
  <c r="B221" i="1"/>
  <c r="B217" i="1"/>
  <c r="J28" i="8"/>
  <c r="K28" i="8"/>
  <c r="B218" i="1"/>
  <c r="B220" i="1"/>
  <c r="B243" i="1"/>
  <c r="B215" i="1"/>
  <c r="C241" i="1"/>
  <c r="B216" i="1"/>
  <c r="C242" i="1"/>
  <c r="D241" i="1"/>
  <c r="D242" i="1"/>
  <c r="E241" i="1"/>
  <c r="E242" i="1"/>
  <c r="F241" i="1"/>
  <c r="F242" i="1"/>
  <c r="G241" i="1"/>
  <c r="G242" i="1"/>
  <c r="H241" i="1"/>
  <c r="H242" i="1"/>
  <c r="I241" i="1"/>
  <c r="I242" i="1"/>
  <c r="J241" i="1"/>
  <c r="J242" i="1"/>
  <c r="K241" i="1"/>
  <c r="K242" i="1"/>
  <c r="L241" i="1"/>
  <c r="L242" i="1"/>
  <c r="M241" i="1"/>
  <c r="M242" i="1"/>
  <c r="N241" i="1"/>
  <c r="N242" i="1"/>
  <c r="O241" i="1"/>
  <c r="O242" i="1"/>
  <c r="P241" i="1"/>
  <c r="P242" i="1"/>
  <c r="Q241" i="1"/>
  <c r="Q242" i="1"/>
  <c r="R241" i="1"/>
  <c r="R242" i="1"/>
  <c r="S241" i="1"/>
  <c r="S242" i="1"/>
  <c r="T241" i="1"/>
  <c r="T242" i="1"/>
  <c r="U241" i="1"/>
  <c r="U242" i="1"/>
  <c r="V241" i="1"/>
  <c r="V242" i="1"/>
  <c r="W241" i="1"/>
  <c r="W242" i="1"/>
  <c r="X241" i="1"/>
  <c r="X242" i="1"/>
  <c r="Y241" i="1"/>
  <c r="Y242" i="1"/>
  <c r="Z241" i="1"/>
  <c r="Z242" i="1"/>
  <c r="AA241" i="1"/>
  <c r="AA243" i="1"/>
  <c r="Z243" i="1"/>
  <c r="Y243" i="1"/>
  <c r="X243" i="1"/>
  <c r="W243" i="1"/>
  <c r="V243" i="1"/>
  <c r="U243" i="1"/>
  <c r="T243" i="1"/>
  <c r="S243" i="1"/>
  <c r="R243" i="1"/>
  <c r="Q243" i="1"/>
  <c r="P243" i="1"/>
  <c r="O243" i="1"/>
  <c r="N243" i="1"/>
  <c r="M243" i="1"/>
  <c r="L243" i="1"/>
  <c r="K243" i="1"/>
  <c r="J243" i="1"/>
  <c r="I243" i="1"/>
  <c r="H243" i="1"/>
  <c r="G243" i="1"/>
  <c r="F243" i="1"/>
  <c r="E243" i="1"/>
  <c r="D243" i="1"/>
  <c r="C243" i="1"/>
  <c r="L27" i="8"/>
  <c r="M27" i="8"/>
  <c r="B179" i="1"/>
  <c r="B181" i="1"/>
  <c r="B178" i="1"/>
  <c r="B174" i="1"/>
  <c r="J27" i="8"/>
  <c r="K27" i="8"/>
  <c r="B175" i="1"/>
  <c r="B177" i="1"/>
  <c r="B200" i="1"/>
  <c r="B172" i="1"/>
  <c r="C198" i="1"/>
  <c r="B173" i="1"/>
  <c r="C199" i="1"/>
  <c r="D198" i="1"/>
  <c r="D199" i="1"/>
  <c r="E198" i="1"/>
  <c r="E199" i="1"/>
  <c r="F198" i="1"/>
  <c r="F199" i="1"/>
  <c r="G198" i="1"/>
  <c r="G199" i="1"/>
  <c r="H198" i="1"/>
  <c r="H199" i="1"/>
  <c r="I198" i="1"/>
  <c r="I199" i="1"/>
  <c r="J198" i="1"/>
  <c r="J199" i="1"/>
  <c r="K198" i="1"/>
  <c r="K199" i="1"/>
  <c r="L198" i="1"/>
  <c r="L199" i="1"/>
  <c r="M198" i="1"/>
  <c r="M199" i="1"/>
  <c r="N198" i="1"/>
  <c r="N199" i="1"/>
  <c r="O198" i="1"/>
  <c r="O199" i="1"/>
  <c r="P198" i="1"/>
  <c r="P199" i="1"/>
  <c r="Q198" i="1"/>
  <c r="Q199" i="1"/>
  <c r="R198" i="1"/>
  <c r="R199" i="1"/>
  <c r="S198" i="1"/>
  <c r="S199" i="1"/>
  <c r="T198" i="1"/>
  <c r="T199" i="1"/>
  <c r="U198" i="1"/>
  <c r="U199" i="1"/>
  <c r="V198" i="1"/>
  <c r="V199" i="1"/>
  <c r="W198" i="1"/>
  <c r="W199" i="1"/>
  <c r="X198" i="1"/>
  <c r="X199" i="1"/>
  <c r="Y198" i="1"/>
  <c r="Y199" i="1"/>
  <c r="Z198" i="1"/>
  <c r="Z199" i="1"/>
  <c r="AA198" i="1"/>
  <c r="AA200" i="1"/>
  <c r="Z200" i="1"/>
  <c r="Y200" i="1"/>
  <c r="X200" i="1"/>
  <c r="W200" i="1"/>
  <c r="V200" i="1"/>
  <c r="U200" i="1"/>
  <c r="T200" i="1"/>
  <c r="S200" i="1"/>
  <c r="R200" i="1"/>
  <c r="Q200" i="1"/>
  <c r="P200" i="1"/>
  <c r="O200" i="1"/>
  <c r="N200" i="1"/>
  <c r="M200" i="1"/>
  <c r="L200" i="1"/>
  <c r="K200" i="1"/>
  <c r="J200" i="1"/>
  <c r="I200" i="1"/>
  <c r="H200" i="1"/>
  <c r="G200" i="1"/>
  <c r="F200" i="1"/>
  <c r="E200" i="1"/>
  <c r="D200" i="1"/>
  <c r="C200" i="1"/>
  <c r="B131" i="1"/>
  <c r="J26" i="8"/>
  <c r="K26" i="8"/>
  <c r="B132" i="1"/>
  <c r="B134" i="1"/>
  <c r="B130" i="1"/>
  <c r="V156" i="1"/>
  <c r="W155" i="1"/>
  <c r="W156" i="1"/>
  <c r="X155" i="1"/>
  <c r="X156" i="1"/>
  <c r="Y155" i="1"/>
  <c r="Y156" i="1"/>
  <c r="Z155" i="1"/>
  <c r="Z156" i="1"/>
  <c r="AA155" i="1"/>
  <c r="AA157" i="1"/>
  <c r="Z157" i="1"/>
  <c r="Y157" i="1"/>
  <c r="X157" i="1"/>
  <c r="W157" i="1"/>
  <c r="D17" i="8"/>
  <c r="D18" i="8"/>
  <c r="B90" i="1"/>
  <c r="C112" i="1"/>
  <c r="B92" i="1"/>
  <c r="B93" i="1"/>
  <c r="B95" i="1"/>
  <c r="C114" i="1"/>
  <c r="C109" i="1"/>
  <c r="C117" i="1"/>
  <c r="C113" i="1"/>
  <c r="D112" i="1"/>
  <c r="D114" i="1"/>
  <c r="B97" i="1"/>
  <c r="D108" i="1"/>
  <c r="D109" i="1"/>
  <c r="D117" i="1"/>
  <c r="D113" i="1"/>
  <c r="E112" i="1"/>
  <c r="E114" i="1"/>
  <c r="E108" i="1"/>
  <c r="E109" i="1"/>
  <c r="E117" i="1"/>
  <c r="E113" i="1"/>
  <c r="F112" i="1"/>
  <c r="F114" i="1"/>
  <c r="F108" i="1"/>
  <c r="F109" i="1"/>
  <c r="F117" i="1"/>
  <c r="F113" i="1"/>
  <c r="G112" i="1"/>
  <c r="G114" i="1"/>
  <c r="G103" i="1"/>
  <c r="G105" i="1"/>
  <c r="G108" i="1"/>
  <c r="G109" i="1"/>
  <c r="G117" i="1"/>
  <c r="G113" i="1"/>
  <c r="H112" i="1"/>
  <c r="H114" i="1"/>
  <c r="H108" i="1"/>
  <c r="H109" i="1"/>
  <c r="H117" i="1"/>
  <c r="H113" i="1"/>
  <c r="I112" i="1"/>
  <c r="I114" i="1"/>
  <c r="I108" i="1"/>
  <c r="I109" i="1"/>
  <c r="I117" i="1"/>
  <c r="I113" i="1"/>
  <c r="J112" i="1"/>
  <c r="J114" i="1"/>
  <c r="J108" i="1"/>
  <c r="J109" i="1"/>
  <c r="J117" i="1"/>
  <c r="J113" i="1"/>
  <c r="K112" i="1"/>
  <c r="K114" i="1"/>
  <c r="K108" i="1"/>
  <c r="K109" i="1"/>
  <c r="K117" i="1"/>
  <c r="K113" i="1"/>
  <c r="L112" i="1"/>
  <c r="L114" i="1"/>
  <c r="L103" i="1"/>
  <c r="L105" i="1"/>
  <c r="L108" i="1"/>
  <c r="L109" i="1"/>
  <c r="L117" i="1"/>
  <c r="L113" i="1"/>
  <c r="M112" i="1"/>
  <c r="M114" i="1"/>
  <c r="M108" i="1"/>
  <c r="M109" i="1"/>
  <c r="M117" i="1"/>
  <c r="M113" i="1"/>
  <c r="N112" i="1"/>
  <c r="N114" i="1"/>
  <c r="N108" i="1"/>
  <c r="N109" i="1"/>
  <c r="N117" i="1"/>
  <c r="N113" i="1"/>
  <c r="O112" i="1"/>
  <c r="O114" i="1"/>
  <c r="O108" i="1"/>
  <c r="O109" i="1"/>
  <c r="O117" i="1"/>
  <c r="O113" i="1"/>
  <c r="P112" i="1"/>
  <c r="P114" i="1"/>
  <c r="P108" i="1"/>
  <c r="P109" i="1"/>
  <c r="P117" i="1"/>
  <c r="P113" i="1"/>
  <c r="Q112" i="1"/>
  <c r="Q114" i="1"/>
  <c r="Q103" i="1"/>
  <c r="Q105" i="1"/>
  <c r="Q108" i="1"/>
  <c r="Q109" i="1"/>
  <c r="Q117" i="1"/>
  <c r="Q113" i="1"/>
  <c r="R112" i="1"/>
  <c r="R114" i="1"/>
  <c r="R108" i="1"/>
  <c r="R109" i="1"/>
  <c r="R117" i="1"/>
  <c r="R113" i="1"/>
  <c r="S112" i="1"/>
  <c r="S114" i="1"/>
  <c r="S108" i="1"/>
  <c r="S109" i="1"/>
  <c r="S117" i="1"/>
  <c r="S113" i="1"/>
  <c r="T112" i="1"/>
  <c r="T114" i="1"/>
  <c r="T108" i="1"/>
  <c r="T109" i="1"/>
  <c r="T117" i="1"/>
  <c r="T113" i="1"/>
  <c r="U112" i="1"/>
  <c r="U114" i="1"/>
  <c r="U108" i="1"/>
  <c r="U109" i="1"/>
  <c r="U117" i="1"/>
  <c r="U113" i="1"/>
  <c r="V112" i="1"/>
  <c r="V114" i="1"/>
  <c r="V103" i="1"/>
  <c r="V105" i="1"/>
  <c r="V108" i="1"/>
  <c r="V109" i="1"/>
  <c r="V117" i="1"/>
  <c r="B101" i="1"/>
  <c r="B99" i="1"/>
  <c r="B105" i="1"/>
  <c r="B109" i="1"/>
  <c r="B114" i="1"/>
  <c r="B117" i="1"/>
  <c r="B104" i="1"/>
  <c r="C104" i="1"/>
  <c r="D104" i="1"/>
  <c r="E104" i="1"/>
  <c r="F104" i="1"/>
  <c r="G104" i="1"/>
  <c r="H104" i="1"/>
  <c r="I104" i="1"/>
  <c r="J104" i="1"/>
  <c r="K104" i="1"/>
  <c r="L104" i="1"/>
  <c r="M104" i="1"/>
  <c r="N104" i="1"/>
  <c r="O104" i="1"/>
  <c r="P104" i="1"/>
  <c r="Q104" i="1"/>
  <c r="R104" i="1"/>
  <c r="S104" i="1"/>
  <c r="T104" i="1"/>
  <c r="U104" i="1"/>
  <c r="V104" i="1"/>
  <c r="B98" i="1"/>
  <c r="C120" i="1"/>
  <c r="P47" i="7"/>
  <c r="A47" i="7"/>
  <c r="I6" i="6"/>
  <c r="B141" i="1"/>
  <c r="G7" i="6"/>
  <c r="H26" i="8"/>
  <c r="I26" i="8"/>
  <c r="B139" i="1"/>
  <c r="C152" i="1"/>
  <c r="C160" i="1"/>
  <c r="B144" i="1"/>
  <c r="B142" i="1"/>
  <c r="B148" i="1"/>
  <c r="B152" i="1"/>
  <c r="B160" i="1"/>
  <c r="B140" i="1"/>
  <c r="D151" i="1"/>
  <c r="D152" i="1"/>
  <c r="D160" i="1"/>
  <c r="E151" i="1"/>
  <c r="E152" i="1"/>
  <c r="E160" i="1"/>
  <c r="F151" i="1"/>
  <c r="F152" i="1"/>
  <c r="F160" i="1"/>
  <c r="G146" i="1"/>
  <c r="G148" i="1"/>
  <c r="G151" i="1"/>
  <c r="G152" i="1"/>
  <c r="G160" i="1"/>
  <c r="H151" i="1"/>
  <c r="H152" i="1"/>
  <c r="H160" i="1"/>
  <c r="I151" i="1"/>
  <c r="I152" i="1"/>
  <c r="I160" i="1"/>
  <c r="J151" i="1"/>
  <c r="J152" i="1"/>
  <c r="J160" i="1"/>
  <c r="K151" i="1"/>
  <c r="K152" i="1"/>
  <c r="K160" i="1"/>
  <c r="L146" i="1"/>
  <c r="L148" i="1"/>
  <c r="L151" i="1"/>
  <c r="L152" i="1"/>
  <c r="L160" i="1"/>
  <c r="M151" i="1"/>
  <c r="M152" i="1"/>
  <c r="M160" i="1"/>
  <c r="N151" i="1"/>
  <c r="N152" i="1"/>
  <c r="N160" i="1"/>
  <c r="O151" i="1"/>
  <c r="O152" i="1"/>
  <c r="O160" i="1"/>
  <c r="P151" i="1"/>
  <c r="P152" i="1"/>
  <c r="P160" i="1"/>
  <c r="Q146" i="1"/>
  <c r="Q148" i="1"/>
  <c r="Q151" i="1"/>
  <c r="Q152" i="1"/>
  <c r="Q160" i="1"/>
  <c r="R151" i="1"/>
  <c r="R152" i="1"/>
  <c r="R160" i="1"/>
  <c r="S151" i="1"/>
  <c r="S152" i="1"/>
  <c r="S160" i="1"/>
  <c r="T151" i="1"/>
  <c r="T152" i="1"/>
  <c r="T160" i="1"/>
  <c r="U151" i="1"/>
  <c r="U152" i="1"/>
  <c r="U160" i="1"/>
  <c r="V146" i="1"/>
  <c r="V148" i="1"/>
  <c r="V151" i="1"/>
  <c r="V152" i="1"/>
  <c r="V160" i="1"/>
  <c r="B147" i="1"/>
  <c r="C147" i="1"/>
  <c r="D147" i="1"/>
  <c r="E147" i="1"/>
  <c r="F147" i="1"/>
  <c r="G147" i="1"/>
  <c r="H147" i="1"/>
  <c r="I147" i="1"/>
  <c r="J147" i="1"/>
  <c r="K147" i="1"/>
  <c r="L147" i="1"/>
  <c r="M147" i="1"/>
  <c r="N147" i="1"/>
  <c r="O147" i="1"/>
  <c r="P147" i="1"/>
  <c r="Q147" i="1"/>
  <c r="R147" i="1"/>
  <c r="S147" i="1"/>
  <c r="T147" i="1"/>
  <c r="U147" i="1"/>
  <c r="V147" i="1"/>
  <c r="C163" i="1"/>
  <c r="P48" i="7"/>
  <c r="A48" i="7"/>
  <c r="I7" i="6"/>
  <c r="M36" i="8"/>
  <c r="I48" i="6"/>
  <c r="I47" i="6"/>
  <c r="I46" i="6"/>
  <c r="I45" i="6"/>
  <c r="I44" i="6"/>
  <c r="I43" i="6"/>
  <c r="I42" i="6"/>
  <c r="I41" i="6"/>
  <c r="I40" i="6"/>
  <c r="I39" i="6"/>
  <c r="I38" i="6"/>
  <c r="M25" i="8"/>
  <c r="I37" i="6"/>
  <c r="M24" i="8"/>
  <c r="I36" i="6"/>
  <c r="M23" i="8"/>
  <c r="I35" i="6"/>
  <c r="H47" i="6"/>
  <c r="H46" i="6"/>
  <c r="H45" i="6"/>
  <c r="H44" i="6"/>
  <c r="H43" i="6"/>
  <c r="H42" i="6"/>
  <c r="H41" i="6"/>
  <c r="H40" i="6"/>
  <c r="H39" i="6"/>
  <c r="H38" i="6"/>
  <c r="H35" i="8"/>
  <c r="I35" i="8"/>
  <c r="G47" i="6"/>
  <c r="G46" i="6"/>
  <c r="H33" i="8"/>
  <c r="I33" i="8"/>
  <c r="G45" i="6"/>
  <c r="H32" i="8"/>
  <c r="I32" i="8"/>
  <c r="G44" i="6"/>
  <c r="H31" i="8"/>
  <c r="I31" i="8"/>
  <c r="G43" i="6"/>
  <c r="H30" i="8"/>
  <c r="I30" i="8"/>
  <c r="G42" i="6"/>
  <c r="H29" i="8"/>
  <c r="I29" i="8"/>
  <c r="G41" i="6"/>
  <c r="H28" i="8"/>
  <c r="I28" i="8"/>
  <c r="G40" i="6"/>
  <c r="H27" i="8"/>
  <c r="I27" i="8"/>
  <c r="G39" i="6"/>
  <c r="G38" i="6"/>
  <c r="F47" i="6"/>
  <c r="F46" i="6"/>
  <c r="F45" i="6"/>
  <c r="F44" i="6"/>
  <c r="F43" i="6"/>
  <c r="F42" i="6"/>
  <c r="F41" i="6"/>
  <c r="F40" i="6"/>
  <c r="F39" i="6"/>
  <c r="F38" i="6"/>
  <c r="E48" i="6"/>
  <c r="E47" i="6"/>
  <c r="E46" i="6"/>
  <c r="E45" i="6"/>
  <c r="E44" i="6"/>
  <c r="E43" i="6"/>
  <c r="E42" i="6"/>
  <c r="E41" i="6"/>
  <c r="E40" i="6"/>
  <c r="E39" i="6"/>
  <c r="E38" i="6"/>
  <c r="E37" i="6"/>
  <c r="E36" i="6"/>
  <c r="E35" i="6"/>
  <c r="D47" i="6"/>
  <c r="D46" i="6"/>
  <c r="D45" i="6"/>
  <c r="D44" i="6"/>
  <c r="D43" i="6"/>
  <c r="D42" i="6"/>
  <c r="D41" i="6"/>
  <c r="D40" i="6"/>
  <c r="D39" i="6"/>
  <c r="D38" i="6"/>
  <c r="D37" i="6"/>
  <c r="D36" i="6"/>
  <c r="D35" i="6"/>
  <c r="A33" i="6"/>
  <c r="C31" i="6"/>
  <c r="C30" i="6"/>
  <c r="C29" i="6"/>
  <c r="C28" i="6"/>
  <c r="C27" i="6"/>
  <c r="C25" i="6"/>
  <c r="C24" i="6"/>
  <c r="C22" i="6"/>
  <c r="B559" i="1"/>
  <c r="B51" i="1"/>
  <c r="B12" i="1"/>
  <c r="C34" i="1"/>
  <c r="B14" i="1"/>
  <c r="B15" i="1"/>
  <c r="B17" i="1"/>
  <c r="C36" i="1"/>
  <c r="C37" i="1"/>
  <c r="C35" i="1"/>
  <c r="D34" i="1"/>
  <c r="D36" i="1"/>
  <c r="D37" i="1"/>
  <c r="D35" i="1"/>
  <c r="E34" i="1"/>
  <c r="E36" i="1"/>
  <c r="E37" i="1"/>
  <c r="E35" i="1"/>
  <c r="F34" i="1"/>
  <c r="F36" i="1"/>
  <c r="F37" i="1"/>
  <c r="F35" i="1"/>
  <c r="G34" i="1"/>
  <c r="G36" i="1"/>
  <c r="G37" i="1"/>
  <c r="G35" i="1"/>
  <c r="H34" i="1"/>
  <c r="H36" i="1"/>
  <c r="H37" i="1"/>
  <c r="H35" i="1"/>
  <c r="I34" i="1"/>
  <c r="I36" i="1"/>
  <c r="I37" i="1"/>
  <c r="I35" i="1"/>
  <c r="J34" i="1"/>
  <c r="J36" i="1"/>
  <c r="J37" i="1"/>
  <c r="J35" i="1"/>
  <c r="K34" i="1"/>
  <c r="K36" i="1"/>
  <c r="K37" i="1"/>
  <c r="K35" i="1"/>
  <c r="L34" i="1"/>
  <c r="L36" i="1"/>
  <c r="L37" i="1"/>
  <c r="L35" i="1"/>
  <c r="M34" i="1"/>
  <c r="M36" i="1"/>
  <c r="M37" i="1"/>
  <c r="M35" i="1"/>
  <c r="N34" i="1"/>
  <c r="N36" i="1"/>
  <c r="N37" i="1"/>
  <c r="N35" i="1"/>
  <c r="O34" i="1"/>
  <c r="O36" i="1"/>
  <c r="O37" i="1"/>
  <c r="O35" i="1"/>
  <c r="P34" i="1"/>
  <c r="P36" i="1"/>
  <c r="P37" i="1"/>
  <c r="P35" i="1"/>
  <c r="Q34" i="1"/>
  <c r="Q36" i="1"/>
  <c r="Q37" i="1"/>
  <c r="Q35" i="1"/>
  <c r="R34" i="1"/>
  <c r="R36" i="1"/>
  <c r="R37" i="1"/>
  <c r="R35" i="1"/>
  <c r="S34" i="1"/>
  <c r="S36" i="1"/>
  <c r="S37" i="1"/>
  <c r="S35" i="1"/>
  <c r="T34" i="1"/>
  <c r="T36" i="1"/>
  <c r="T37" i="1"/>
  <c r="T35" i="1"/>
  <c r="U34" i="1"/>
  <c r="U36" i="1"/>
  <c r="U37" i="1"/>
  <c r="U35" i="1"/>
  <c r="V34" i="1"/>
  <c r="V36" i="1"/>
  <c r="V37" i="1"/>
  <c r="B36" i="1"/>
  <c r="B37" i="1"/>
  <c r="C46" i="1"/>
  <c r="G4" i="6"/>
  <c r="B561" i="1"/>
  <c r="B562" i="1"/>
  <c r="B564" i="1"/>
  <c r="B583" i="1"/>
  <c r="C125" i="1"/>
  <c r="H6" i="6"/>
  <c r="C115" i="1"/>
  <c r="D115" i="1"/>
  <c r="E115" i="1"/>
  <c r="F115" i="1"/>
  <c r="G115" i="1"/>
  <c r="H115" i="1"/>
  <c r="I115" i="1"/>
  <c r="J115" i="1"/>
  <c r="K115" i="1"/>
  <c r="L115" i="1"/>
  <c r="M115" i="1"/>
  <c r="N115" i="1"/>
  <c r="O115" i="1"/>
  <c r="P115" i="1"/>
  <c r="Q115" i="1"/>
  <c r="R115" i="1"/>
  <c r="S115" i="1"/>
  <c r="T115" i="1"/>
  <c r="U115" i="1"/>
  <c r="V115" i="1"/>
  <c r="B115" i="1"/>
  <c r="C124" i="1"/>
  <c r="G6" i="6"/>
  <c r="B62" i="1"/>
  <c r="B65" i="1"/>
  <c r="B58" i="1"/>
  <c r="C65" i="1"/>
  <c r="D65" i="1"/>
  <c r="E65" i="1"/>
  <c r="F65" i="1"/>
  <c r="G64" i="1"/>
  <c r="G65" i="1"/>
  <c r="H65" i="1"/>
  <c r="I65" i="1"/>
  <c r="J65" i="1"/>
  <c r="K65" i="1"/>
  <c r="L64" i="1"/>
  <c r="L65" i="1"/>
  <c r="M65" i="1"/>
  <c r="N65" i="1"/>
  <c r="O65" i="1"/>
  <c r="P65" i="1"/>
  <c r="Q64" i="1"/>
  <c r="Q65" i="1"/>
  <c r="R65" i="1"/>
  <c r="S65" i="1"/>
  <c r="T65" i="1"/>
  <c r="U65" i="1"/>
  <c r="V64" i="1"/>
  <c r="V65" i="1"/>
  <c r="B59" i="1"/>
  <c r="C86" i="1"/>
  <c r="H5" i="6"/>
  <c r="C73" i="1"/>
  <c r="B53" i="1"/>
  <c r="B54" i="1"/>
  <c r="B56" i="1"/>
  <c r="C75" i="1"/>
  <c r="C76" i="1"/>
  <c r="C74" i="1"/>
  <c r="D73" i="1"/>
  <c r="D75" i="1"/>
  <c r="D76" i="1"/>
  <c r="D74" i="1"/>
  <c r="E73" i="1"/>
  <c r="E75" i="1"/>
  <c r="E76" i="1"/>
  <c r="E74" i="1"/>
  <c r="F73" i="1"/>
  <c r="F75" i="1"/>
  <c r="F76" i="1"/>
  <c r="F74" i="1"/>
  <c r="G73" i="1"/>
  <c r="G75" i="1"/>
  <c r="G76" i="1"/>
  <c r="G74" i="1"/>
  <c r="H73" i="1"/>
  <c r="H75" i="1"/>
  <c r="H76" i="1"/>
  <c r="H74" i="1"/>
  <c r="I73" i="1"/>
  <c r="I75" i="1"/>
  <c r="I76" i="1"/>
  <c r="I74" i="1"/>
  <c r="J73" i="1"/>
  <c r="J75" i="1"/>
  <c r="J76" i="1"/>
  <c r="J74" i="1"/>
  <c r="K73" i="1"/>
  <c r="K75" i="1"/>
  <c r="K76" i="1"/>
  <c r="K74" i="1"/>
  <c r="L73" i="1"/>
  <c r="L75" i="1"/>
  <c r="L76" i="1"/>
  <c r="L74" i="1"/>
  <c r="M73" i="1"/>
  <c r="M75" i="1"/>
  <c r="M76" i="1"/>
  <c r="M74" i="1"/>
  <c r="N73" i="1"/>
  <c r="N75" i="1"/>
  <c r="N76" i="1"/>
  <c r="N74" i="1"/>
  <c r="O73" i="1"/>
  <c r="O75" i="1"/>
  <c r="O76" i="1"/>
  <c r="O74" i="1"/>
  <c r="P73" i="1"/>
  <c r="P75" i="1"/>
  <c r="P76" i="1"/>
  <c r="P74" i="1"/>
  <c r="Q73" i="1"/>
  <c r="Q75" i="1"/>
  <c r="Q76" i="1"/>
  <c r="Q74" i="1"/>
  <c r="R73" i="1"/>
  <c r="R75" i="1"/>
  <c r="R76" i="1"/>
  <c r="R74" i="1"/>
  <c r="S73" i="1"/>
  <c r="S75" i="1"/>
  <c r="S76" i="1"/>
  <c r="S74" i="1"/>
  <c r="T73" i="1"/>
  <c r="T75" i="1"/>
  <c r="T76" i="1"/>
  <c r="T74" i="1"/>
  <c r="U73" i="1"/>
  <c r="U75" i="1"/>
  <c r="U76" i="1"/>
  <c r="U74" i="1"/>
  <c r="V73" i="1"/>
  <c r="V75" i="1"/>
  <c r="V76" i="1"/>
  <c r="B75" i="1"/>
  <c r="B76" i="1"/>
  <c r="C85" i="1"/>
  <c r="G5" i="6"/>
  <c r="C47" i="1"/>
  <c r="H4" i="6"/>
  <c r="B570" i="1"/>
  <c r="B573" i="1"/>
  <c r="B566" i="1"/>
  <c r="C573" i="1"/>
  <c r="D573" i="1"/>
  <c r="E573" i="1"/>
  <c r="F573" i="1"/>
  <c r="G573" i="1"/>
  <c r="H573" i="1"/>
  <c r="I573" i="1"/>
  <c r="J573" i="1"/>
  <c r="K573" i="1"/>
  <c r="L573" i="1"/>
  <c r="M573" i="1"/>
  <c r="N573" i="1"/>
  <c r="O573" i="1"/>
  <c r="P573" i="1"/>
  <c r="Q572" i="1"/>
  <c r="Q573" i="1"/>
  <c r="R573" i="1"/>
  <c r="S573" i="1"/>
  <c r="T573" i="1"/>
  <c r="U573" i="1"/>
  <c r="V573" i="1"/>
  <c r="B567" i="1"/>
  <c r="C594" i="1"/>
  <c r="H17" i="6"/>
  <c r="C581" i="1"/>
  <c r="C583" i="1"/>
  <c r="C584" i="1"/>
  <c r="B560" i="1"/>
  <c r="C582" i="1"/>
  <c r="D581" i="1"/>
  <c r="D583" i="1"/>
  <c r="D584" i="1"/>
  <c r="D582" i="1"/>
  <c r="E581" i="1"/>
  <c r="E583" i="1"/>
  <c r="E584" i="1"/>
  <c r="E582" i="1"/>
  <c r="F581" i="1"/>
  <c r="F583" i="1"/>
  <c r="F584" i="1"/>
  <c r="F582" i="1"/>
  <c r="G581" i="1"/>
  <c r="G583" i="1"/>
  <c r="G584" i="1"/>
  <c r="G582" i="1"/>
  <c r="H581" i="1"/>
  <c r="H583" i="1"/>
  <c r="H584" i="1"/>
  <c r="H582" i="1"/>
  <c r="I581" i="1"/>
  <c r="I583" i="1"/>
  <c r="I584" i="1"/>
  <c r="I582" i="1"/>
  <c r="J581" i="1"/>
  <c r="J583" i="1"/>
  <c r="J584" i="1"/>
  <c r="J582" i="1"/>
  <c r="K581" i="1"/>
  <c r="K583" i="1"/>
  <c r="K584" i="1"/>
  <c r="K582" i="1"/>
  <c r="L581" i="1"/>
  <c r="L583" i="1"/>
  <c r="L584" i="1"/>
  <c r="L582" i="1"/>
  <c r="M581" i="1"/>
  <c r="M583" i="1"/>
  <c r="M584" i="1"/>
  <c r="M582" i="1"/>
  <c r="N581" i="1"/>
  <c r="N583" i="1"/>
  <c r="N584" i="1"/>
  <c r="N582" i="1"/>
  <c r="O581" i="1"/>
  <c r="O583" i="1"/>
  <c r="O584" i="1"/>
  <c r="O582" i="1"/>
  <c r="P581" i="1"/>
  <c r="P583" i="1"/>
  <c r="P584" i="1"/>
  <c r="P582" i="1"/>
  <c r="Q581" i="1"/>
  <c r="Q583" i="1"/>
  <c r="Q584" i="1"/>
  <c r="Q582" i="1"/>
  <c r="R581" i="1"/>
  <c r="R583" i="1"/>
  <c r="R584" i="1"/>
  <c r="R582" i="1"/>
  <c r="S581" i="1"/>
  <c r="S583" i="1"/>
  <c r="S584" i="1"/>
  <c r="S582" i="1"/>
  <c r="T581" i="1"/>
  <c r="T583" i="1"/>
  <c r="T584" i="1"/>
  <c r="T582" i="1"/>
  <c r="U581" i="1"/>
  <c r="U583" i="1"/>
  <c r="U584" i="1"/>
  <c r="U582" i="1"/>
  <c r="V581" i="1"/>
  <c r="V583" i="1"/>
  <c r="V584" i="1"/>
  <c r="B584" i="1"/>
  <c r="C593" i="1"/>
  <c r="G17" i="6"/>
  <c r="C578" i="1"/>
  <c r="C579" i="1"/>
  <c r="D577" i="1"/>
  <c r="D578" i="1"/>
  <c r="D579" i="1"/>
  <c r="E577" i="1"/>
  <c r="E578" i="1"/>
  <c r="E579" i="1"/>
  <c r="F577" i="1"/>
  <c r="F578" i="1"/>
  <c r="F579" i="1"/>
  <c r="G577" i="1"/>
  <c r="G578" i="1"/>
  <c r="G579" i="1"/>
  <c r="H577" i="1"/>
  <c r="H578" i="1"/>
  <c r="H579" i="1"/>
  <c r="I577" i="1"/>
  <c r="I578" i="1"/>
  <c r="I579" i="1"/>
  <c r="J577" i="1"/>
  <c r="J578" i="1"/>
  <c r="J579" i="1"/>
  <c r="K577" i="1"/>
  <c r="K578" i="1"/>
  <c r="K579" i="1"/>
  <c r="L577" i="1"/>
  <c r="L578" i="1"/>
  <c r="L579" i="1"/>
  <c r="M577" i="1"/>
  <c r="M578" i="1"/>
  <c r="M579" i="1"/>
  <c r="N577" i="1"/>
  <c r="N578" i="1"/>
  <c r="N579" i="1"/>
  <c r="O577" i="1"/>
  <c r="O578" i="1"/>
  <c r="O579" i="1"/>
  <c r="P577" i="1"/>
  <c r="P578" i="1"/>
  <c r="P579" i="1"/>
  <c r="Q577" i="1"/>
  <c r="Q578" i="1"/>
  <c r="Q579" i="1"/>
  <c r="R578" i="1"/>
  <c r="R579" i="1"/>
  <c r="S577" i="1"/>
  <c r="S578" i="1"/>
  <c r="S579" i="1"/>
  <c r="T577" i="1"/>
  <c r="T578" i="1"/>
  <c r="T579" i="1"/>
  <c r="U577" i="1"/>
  <c r="U578" i="1"/>
  <c r="U579" i="1"/>
  <c r="V577" i="1"/>
  <c r="V578" i="1"/>
  <c r="V579" i="1"/>
  <c r="B578" i="1"/>
  <c r="B579" i="1"/>
  <c r="C592" i="1"/>
  <c r="F17" i="6"/>
  <c r="C110" i="1"/>
  <c r="D110" i="1"/>
  <c r="E110" i="1"/>
  <c r="F110" i="1"/>
  <c r="G110" i="1"/>
  <c r="H110" i="1"/>
  <c r="I110" i="1"/>
  <c r="J110" i="1"/>
  <c r="K110" i="1"/>
  <c r="L110" i="1"/>
  <c r="M110" i="1"/>
  <c r="N110" i="1"/>
  <c r="O110" i="1"/>
  <c r="P110" i="1"/>
  <c r="Q110" i="1"/>
  <c r="R110" i="1"/>
  <c r="S110" i="1"/>
  <c r="T110" i="1"/>
  <c r="U110" i="1"/>
  <c r="V110" i="1"/>
  <c r="B110" i="1"/>
  <c r="C123" i="1"/>
  <c r="F6" i="6"/>
  <c r="C70" i="1"/>
  <c r="C71" i="1"/>
  <c r="D69" i="1"/>
  <c r="D70" i="1"/>
  <c r="D71" i="1"/>
  <c r="E69" i="1"/>
  <c r="E70" i="1"/>
  <c r="E71" i="1"/>
  <c r="F69" i="1"/>
  <c r="F70" i="1"/>
  <c r="F71" i="1"/>
  <c r="G69" i="1"/>
  <c r="G70" i="1"/>
  <c r="G71" i="1"/>
  <c r="H69" i="1"/>
  <c r="H70" i="1"/>
  <c r="H71" i="1"/>
  <c r="I69" i="1"/>
  <c r="I70" i="1"/>
  <c r="I71" i="1"/>
  <c r="J69" i="1"/>
  <c r="J70" i="1"/>
  <c r="J71" i="1"/>
  <c r="K69" i="1"/>
  <c r="K70" i="1"/>
  <c r="K71" i="1"/>
  <c r="L69" i="1"/>
  <c r="L70" i="1"/>
  <c r="L71" i="1"/>
  <c r="M69" i="1"/>
  <c r="M70" i="1"/>
  <c r="M71" i="1"/>
  <c r="N69" i="1"/>
  <c r="N70" i="1"/>
  <c r="N71" i="1"/>
  <c r="O69" i="1"/>
  <c r="O70" i="1"/>
  <c r="O71" i="1"/>
  <c r="P69" i="1"/>
  <c r="P70" i="1"/>
  <c r="P71" i="1"/>
  <c r="Q69" i="1"/>
  <c r="Q70" i="1"/>
  <c r="Q71" i="1"/>
  <c r="R69" i="1"/>
  <c r="R70" i="1"/>
  <c r="R71" i="1"/>
  <c r="S69" i="1"/>
  <c r="S70" i="1"/>
  <c r="S71" i="1"/>
  <c r="T69" i="1"/>
  <c r="T70" i="1"/>
  <c r="T71" i="1"/>
  <c r="U69" i="1"/>
  <c r="U70" i="1"/>
  <c r="U71" i="1"/>
  <c r="V69" i="1"/>
  <c r="V70" i="1"/>
  <c r="V71" i="1"/>
  <c r="B70" i="1"/>
  <c r="B71" i="1"/>
  <c r="C84" i="1"/>
  <c r="F5" i="6"/>
  <c r="C31" i="1"/>
  <c r="C32" i="1"/>
  <c r="D30" i="1"/>
  <c r="D31" i="1"/>
  <c r="D32" i="1"/>
  <c r="E30" i="1"/>
  <c r="E31" i="1"/>
  <c r="E32" i="1"/>
  <c r="F30" i="1"/>
  <c r="F31" i="1"/>
  <c r="F32" i="1"/>
  <c r="G30" i="1"/>
  <c r="G31" i="1"/>
  <c r="G32" i="1"/>
  <c r="H30" i="1"/>
  <c r="H31" i="1"/>
  <c r="H32" i="1"/>
  <c r="I30" i="1"/>
  <c r="I31" i="1"/>
  <c r="I32" i="1"/>
  <c r="J30" i="1"/>
  <c r="J31" i="1"/>
  <c r="J32" i="1"/>
  <c r="K30" i="1"/>
  <c r="K31" i="1"/>
  <c r="K32" i="1"/>
  <c r="L30" i="1"/>
  <c r="L31" i="1"/>
  <c r="L32" i="1"/>
  <c r="M30" i="1"/>
  <c r="M31" i="1"/>
  <c r="M32" i="1"/>
  <c r="N30" i="1"/>
  <c r="N31" i="1"/>
  <c r="N32" i="1"/>
  <c r="O30" i="1"/>
  <c r="O31" i="1"/>
  <c r="O32" i="1"/>
  <c r="P30" i="1"/>
  <c r="P31" i="1"/>
  <c r="P32" i="1"/>
  <c r="Q30" i="1"/>
  <c r="Q31" i="1"/>
  <c r="Q32" i="1"/>
  <c r="R30" i="1"/>
  <c r="R31" i="1"/>
  <c r="R32" i="1"/>
  <c r="S30" i="1"/>
  <c r="S31" i="1"/>
  <c r="S32" i="1"/>
  <c r="T30" i="1"/>
  <c r="T31" i="1"/>
  <c r="T32" i="1"/>
  <c r="U30" i="1"/>
  <c r="U31" i="1"/>
  <c r="U32" i="1"/>
  <c r="V30" i="1"/>
  <c r="V31" i="1"/>
  <c r="V32" i="1"/>
  <c r="B31" i="1"/>
  <c r="B32" i="1"/>
  <c r="C45" i="1"/>
  <c r="F4" i="6"/>
  <c r="Q574" i="1"/>
  <c r="Q575" i="1"/>
  <c r="C575" i="1"/>
  <c r="D575" i="1"/>
  <c r="E575" i="1"/>
  <c r="F575" i="1"/>
  <c r="G575" i="1"/>
  <c r="H575" i="1"/>
  <c r="I575" i="1"/>
  <c r="J575" i="1"/>
  <c r="K575" i="1"/>
  <c r="L575" i="1"/>
  <c r="M575" i="1"/>
  <c r="N575" i="1"/>
  <c r="O575" i="1"/>
  <c r="P575" i="1"/>
  <c r="R575" i="1"/>
  <c r="S575" i="1"/>
  <c r="T575" i="1"/>
  <c r="U575" i="1"/>
  <c r="V575" i="1"/>
  <c r="C591" i="1"/>
  <c r="E17" i="6"/>
  <c r="G106" i="1"/>
  <c r="L106" i="1"/>
  <c r="Q106" i="1"/>
  <c r="V106" i="1"/>
  <c r="B106" i="1"/>
  <c r="C106" i="1"/>
  <c r="D106" i="1"/>
  <c r="E106" i="1"/>
  <c r="F106" i="1"/>
  <c r="H106" i="1"/>
  <c r="I106" i="1"/>
  <c r="J106" i="1"/>
  <c r="K106" i="1"/>
  <c r="M106" i="1"/>
  <c r="N106" i="1"/>
  <c r="O106" i="1"/>
  <c r="P106" i="1"/>
  <c r="R106" i="1"/>
  <c r="S106" i="1"/>
  <c r="T106" i="1"/>
  <c r="U106" i="1"/>
  <c r="C122" i="1"/>
  <c r="E6" i="6"/>
  <c r="G66" i="1"/>
  <c r="G67" i="1"/>
  <c r="L66" i="1"/>
  <c r="L67" i="1"/>
  <c r="Q66" i="1"/>
  <c r="Q67" i="1"/>
  <c r="V66" i="1"/>
  <c r="V67" i="1"/>
  <c r="B60" i="1"/>
  <c r="B66" i="1"/>
  <c r="B67" i="1"/>
  <c r="C67" i="1"/>
  <c r="D67" i="1"/>
  <c r="E67" i="1"/>
  <c r="F67" i="1"/>
  <c r="H67" i="1"/>
  <c r="I67" i="1"/>
  <c r="J67" i="1"/>
  <c r="K67" i="1"/>
  <c r="M67" i="1"/>
  <c r="N67" i="1"/>
  <c r="O67" i="1"/>
  <c r="P67" i="1"/>
  <c r="R67" i="1"/>
  <c r="S67" i="1"/>
  <c r="T67" i="1"/>
  <c r="U67" i="1"/>
  <c r="C83" i="1"/>
  <c r="E5" i="6"/>
  <c r="E4" i="6"/>
  <c r="D17" i="6"/>
  <c r="D6" i="6"/>
  <c r="D5" i="6"/>
  <c r="D4" i="6"/>
  <c r="B526" i="1"/>
  <c r="B527" i="1"/>
  <c r="D538" i="1"/>
  <c r="E538" i="1"/>
  <c r="F538" i="1"/>
  <c r="G538" i="1"/>
  <c r="H538" i="1"/>
  <c r="I538" i="1"/>
  <c r="I539" i="1"/>
  <c r="E539" i="1"/>
  <c r="C539" i="1"/>
  <c r="B539" i="1"/>
  <c r="B440" i="1"/>
  <c r="B441" i="1"/>
  <c r="D452" i="1"/>
  <c r="E452" i="1"/>
  <c r="F452" i="1"/>
  <c r="G452" i="1"/>
  <c r="H452" i="1"/>
  <c r="I452" i="1"/>
  <c r="J452" i="1"/>
  <c r="K452" i="1"/>
  <c r="L452" i="1"/>
  <c r="M452" i="1"/>
  <c r="N452" i="1"/>
  <c r="O452" i="1"/>
  <c r="O453" i="1"/>
  <c r="D453" i="1"/>
  <c r="C453" i="1"/>
  <c r="B453" i="1"/>
  <c r="B397" i="1"/>
  <c r="B398" i="1"/>
  <c r="D409" i="1"/>
  <c r="E409" i="1"/>
  <c r="F409" i="1"/>
  <c r="G409" i="1"/>
  <c r="H409" i="1"/>
  <c r="I409" i="1"/>
  <c r="J409" i="1"/>
  <c r="K409" i="1"/>
  <c r="L409" i="1"/>
  <c r="M409" i="1"/>
  <c r="M410" i="1"/>
  <c r="D410" i="1"/>
  <c r="C410" i="1"/>
  <c r="B410" i="1"/>
  <c r="B354" i="1"/>
  <c r="B355" i="1"/>
  <c r="D366" i="1"/>
  <c r="E366" i="1"/>
  <c r="E367" i="1"/>
  <c r="F366" i="1"/>
  <c r="G366" i="1"/>
  <c r="H366" i="1"/>
  <c r="I366" i="1"/>
  <c r="J366" i="1"/>
  <c r="K366" i="1"/>
  <c r="L366" i="1"/>
  <c r="M366" i="1"/>
  <c r="N366" i="1"/>
  <c r="O366" i="1"/>
  <c r="P366" i="1"/>
  <c r="Q366" i="1"/>
  <c r="R366" i="1"/>
  <c r="S366" i="1"/>
  <c r="T366" i="1"/>
  <c r="U366" i="1"/>
  <c r="V366" i="1"/>
  <c r="W366" i="1"/>
  <c r="X366" i="1"/>
  <c r="Y366" i="1"/>
  <c r="Z366" i="1"/>
  <c r="AA366" i="1"/>
  <c r="AA367" i="1"/>
  <c r="Z367" i="1"/>
  <c r="Y367" i="1"/>
  <c r="X367" i="1"/>
  <c r="W367" i="1"/>
  <c r="V367" i="1"/>
  <c r="U367" i="1"/>
  <c r="T367" i="1"/>
  <c r="S367" i="1"/>
  <c r="R367" i="1"/>
  <c r="Q367" i="1"/>
  <c r="P367" i="1"/>
  <c r="O367" i="1"/>
  <c r="N367" i="1"/>
  <c r="M367" i="1"/>
  <c r="L367" i="1"/>
  <c r="K367" i="1"/>
  <c r="J367" i="1"/>
  <c r="I367" i="1"/>
  <c r="H367" i="1"/>
  <c r="G367" i="1"/>
  <c r="F367" i="1"/>
  <c r="D367" i="1"/>
  <c r="C367" i="1"/>
  <c r="B367" i="1"/>
  <c r="B311" i="1"/>
  <c r="B312" i="1"/>
  <c r="D323" i="1"/>
  <c r="E323" i="1"/>
  <c r="E324" i="1"/>
  <c r="C324" i="1"/>
  <c r="B324" i="1"/>
  <c r="B268" i="1"/>
  <c r="B273" i="1"/>
  <c r="B271" i="1"/>
  <c r="B277" i="1"/>
  <c r="B269" i="1"/>
  <c r="N280" i="1"/>
  <c r="N281" i="1"/>
  <c r="D280" i="1"/>
  <c r="E280" i="1"/>
  <c r="E281" i="1"/>
  <c r="C281" i="1"/>
  <c r="B281" i="1"/>
  <c r="B225" i="1"/>
  <c r="B230" i="1"/>
  <c r="B228" i="1"/>
  <c r="B234" i="1"/>
  <c r="B226" i="1"/>
  <c r="D237" i="1"/>
  <c r="E237" i="1"/>
  <c r="E238" i="1"/>
  <c r="F237" i="1"/>
  <c r="G237" i="1"/>
  <c r="H237" i="1"/>
  <c r="I237" i="1"/>
  <c r="J237" i="1"/>
  <c r="K237" i="1"/>
  <c r="L237" i="1"/>
  <c r="M237" i="1"/>
  <c r="N237" i="1"/>
  <c r="O237" i="1"/>
  <c r="P237" i="1"/>
  <c r="Q237" i="1"/>
  <c r="R237" i="1"/>
  <c r="S237" i="1"/>
  <c r="T237" i="1"/>
  <c r="U237" i="1"/>
  <c r="V237" i="1"/>
  <c r="W237" i="1"/>
  <c r="X237" i="1"/>
  <c r="Y237" i="1"/>
  <c r="Z237" i="1"/>
  <c r="AA237" i="1"/>
  <c r="AA238" i="1"/>
  <c r="Z238" i="1"/>
  <c r="Y238" i="1"/>
  <c r="X238" i="1"/>
  <c r="W238" i="1"/>
  <c r="V238" i="1"/>
  <c r="U238" i="1"/>
  <c r="T238" i="1"/>
  <c r="S238" i="1"/>
  <c r="R238" i="1"/>
  <c r="Q238" i="1"/>
  <c r="P238" i="1"/>
  <c r="O238" i="1"/>
  <c r="N238" i="1"/>
  <c r="M238" i="1"/>
  <c r="L238" i="1"/>
  <c r="K238" i="1"/>
  <c r="J238" i="1"/>
  <c r="I238" i="1"/>
  <c r="H238" i="1"/>
  <c r="G238" i="1"/>
  <c r="F238" i="1"/>
  <c r="D238" i="1"/>
  <c r="C238" i="1"/>
  <c r="B238" i="1"/>
  <c r="C234" i="1"/>
  <c r="B182" i="1"/>
  <c r="B183" i="1"/>
  <c r="D194" i="1"/>
  <c r="E194" i="1"/>
  <c r="F194" i="1"/>
  <c r="G194" i="1"/>
  <c r="H194" i="1"/>
  <c r="I194" i="1"/>
  <c r="J194" i="1"/>
  <c r="K194" i="1"/>
  <c r="L194" i="1"/>
  <c r="M194" i="1"/>
  <c r="N194" i="1"/>
  <c r="O194" i="1"/>
  <c r="P194" i="1"/>
  <c r="Q194" i="1"/>
  <c r="R194" i="1"/>
  <c r="S194" i="1"/>
  <c r="T194" i="1"/>
  <c r="U194" i="1"/>
  <c r="V194" i="1"/>
  <c r="W194" i="1"/>
  <c r="X194" i="1"/>
  <c r="Y194" i="1"/>
  <c r="Z194" i="1"/>
  <c r="AA194" i="1"/>
  <c r="AA195" i="1"/>
  <c r="Z195" i="1"/>
  <c r="Y195" i="1"/>
  <c r="X195" i="1"/>
  <c r="W195" i="1"/>
  <c r="V195" i="1"/>
  <c r="U195" i="1"/>
  <c r="T195" i="1"/>
  <c r="S195" i="1"/>
  <c r="R195" i="1"/>
  <c r="Q195" i="1"/>
  <c r="P195" i="1"/>
  <c r="O195" i="1"/>
  <c r="N195" i="1"/>
  <c r="M195" i="1"/>
  <c r="L195" i="1"/>
  <c r="K195" i="1"/>
  <c r="J195" i="1"/>
  <c r="I195" i="1"/>
  <c r="H195" i="1"/>
  <c r="G195" i="1"/>
  <c r="F195" i="1"/>
  <c r="E195" i="1"/>
  <c r="D195" i="1"/>
  <c r="C195" i="1"/>
  <c r="B195" i="1"/>
  <c r="W108" i="1"/>
  <c r="X108" i="1"/>
  <c r="Y108" i="1"/>
  <c r="Z108" i="1"/>
  <c r="AA108" i="1"/>
  <c r="AA109" i="1"/>
  <c r="Z109" i="1"/>
  <c r="Y109" i="1"/>
  <c r="X109" i="1"/>
  <c r="W109" i="1"/>
  <c r="C105" i="1"/>
  <c r="B1" i="1"/>
  <c r="A20" i="6"/>
  <c r="B531" i="1"/>
  <c r="B534" i="1"/>
  <c r="C534" i="1"/>
  <c r="D534" i="1"/>
  <c r="E534" i="1"/>
  <c r="F534" i="1"/>
  <c r="G534" i="1"/>
  <c r="H534" i="1"/>
  <c r="I534" i="1"/>
  <c r="J534" i="1"/>
  <c r="K534" i="1"/>
  <c r="L534" i="1"/>
  <c r="M534" i="1"/>
  <c r="N534" i="1"/>
  <c r="O534" i="1"/>
  <c r="P534" i="1"/>
  <c r="Q533" i="1"/>
  <c r="Q534" i="1"/>
  <c r="R534" i="1"/>
  <c r="S534" i="1"/>
  <c r="T534" i="1"/>
  <c r="U534" i="1"/>
  <c r="V534" i="1"/>
  <c r="B528" i="1"/>
  <c r="C555" i="1"/>
  <c r="H16" i="6"/>
  <c r="C545" i="1"/>
  <c r="D545" i="1"/>
  <c r="E545" i="1"/>
  <c r="F545" i="1"/>
  <c r="G545" i="1"/>
  <c r="H545" i="1"/>
  <c r="I545" i="1"/>
  <c r="J545" i="1"/>
  <c r="K545" i="1"/>
  <c r="L545" i="1"/>
  <c r="M545" i="1"/>
  <c r="N545" i="1"/>
  <c r="O545" i="1"/>
  <c r="P545" i="1"/>
  <c r="Q545" i="1"/>
  <c r="R545" i="1"/>
  <c r="S545" i="1"/>
  <c r="T545" i="1"/>
  <c r="U545" i="1"/>
  <c r="V545" i="1"/>
  <c r="B545" i="1"/>
  <c r="C554" i="1"/>
  <c r="G16" i="6"/>
  <c r="C540" i="1"/>
  <c r="D539" i="1"/>
  <c r="D540" i="1"/>
  <c r="E540" i="1"/>
  <c r="F539" i="1"/>
  <c r="F540" i="1"/>
  <c r="G539" i="1"/>
  <c r="G540" i="1"/>
  <c r="H539" i="1"/>
  <c r="H540" i="1"/>
  <c r="I540" i="1"/>
  <c r="J538" i="1"/>
  <c r="J539" i="1"/>
  <c r="J540" i="1"/>
  <c r="K538" i="1"/>
  <c r="K539" i="1"/>
  <c r="K540" i="1"/>
  <c r="L538" i="1"/>
  <c r="L539" i="1"/>
  <c r="L540" i="1"/>
  <c r="M538" i="1"/>
  <c r="M539" i="1"/>
  <c r="M540" i="1"/>
  <c r="N538" i="1"/>
  <c r="N539" i="1"/>
  <c r="N540" i="1"/>
  <c r="O538" i="1"/>
  <c r="O539" i="1"/>
  <c r="O540" i="1"/>
  <c r="P538" i="1"/>
  <c r="P539" i="1"/>
  <c r="P540" i="1"/>
  <c r="Q538" i="1"/>
  <c r="Q539" i="1"/>
  <c r="Q540" i="1"/>
  <c r="R538" i="1"/>
  <c r="R539" i="1"/>
  <c r="R540" i="1"/>
  <c r="S538" i="1"/>
  <c r="S539" i="1"/>
  <c r="S540" i="1"/>
  <c r="T538" i="1"/>
  <c r="T539" i="1"/>
  <c r="T540" i="1"/>
  <c r="U538" i="1"/>
  <c r="U539" i="1"/>
  <c r="U540" i="1"/>
  <c r="V538" i="1"/>
  <c r="V539" i="1"/>
  <c r="V540" i="1"/>
  <c r="B540" i="1"/>
  <c r="C553" i="1"/>
  <c r="F16" i="6"/>
  <c r="Q535" i="1"/>
  <c r="Q536" i="1"/>
  <c r="B529" i="1"/>
  <c r="B535" i="1"/>
  <c r="B536" i="1"/>
  <c r="C536" i="1"/>
  <c r="D536" i="1"/>
  <c r="E536" i="1"/>
  <c r="F536" i="1"/>
  <c r="G536" i="1"/>
  <c r="H536" i="1"/>
  <c r="I536" i="1"/>
  <c r="J536" i="1"/>
  <c r="K536" i="1"/>
  <c r="L536" i="1"/>
  <c r="M536" i="1"/>
  <c r="N536" i="1"/>
  <c r="O536" i="1"/>
  <c r="P536" i="1"/>
  <c r="R536" i="1"/>
  <c r="S536" i="1"/>
  <c r="T536" i="1"/>
  <c r="U536" i="1"/>
  <c r="V536" i="1"/>
  <c r="C552" i="1"/>
  <c r="E16" i="6"/>
  <c r="D16" i="6"/>
  <c r="C512" i="1"/>
  <c r="H15" i="6"/>
  <c r="C502" i="1"/>
  <c r="D502" i="1"/>
  <c r="E502" i="1"/>
  <c r="F502" i="1"/>
  <c r="G502" i="1"/>
  <c r="H502" i="1"/>
  <c r="I502" i="1"/>
  <c r="J502" i="1"/>
  <c r="K502" i="1"/>
  <c r="L502" i="1"/>
  <c r="M502" i="1"/>
  <c r="N502" i="1"/>
  <c r="O502" i="1"/>
  <c r="P502" i="1"/>
  <c r="Q502" i="1"/>
  <c r="R502" i="1"/>
  <c r="S502" i="1"/>
  <c r="T502" i="1"/>
  <c r="U502" i="1"/>
  <c r="V502" i="1"/>
  <c r="B502" i="1"/>
  <c r="C511" i="1"/>
  <c r="G15" i="6"/>
  <c r="C497" i="1"/>
  <c r="D497" i="1"/>
  <c r="E497" i="1"/>
  <c r="F497" i="1"/>
  <c r="G497" i="1"/>
  <c r="H497" i="1"/>
  <c r="I497" i="1"/>
  <c r="J497" i="1"/>
  <c r="K497" i="1"/>
  <c r="L497" i="1"/>
  <c r="M497" i="1"/>
  <c r="N497" i="1"/>
  <c r="O497" i="1"/>
  <c r="P497" i="1"/>
  <c r="Q497" i="1"/>
  <c r="R497" i="1"/>
  <c r="S497" i="1"/>
  <c r="T497" i="1"/>
  <c r="U497" i="1"/>
  <c r="V497" i="1"/>
  <c r="B497" i="1"/>
  <c r="C510" i="1"/>
  <c r="F15" i="6"/>
  <c r="Q493" i="1"/>
  <c r="B493" i="1"/>
  <c r="C493" i="1"/>
  <c r="D493" i="1"/>
  <c r="E493" i="1"/>
  <c r="F493" i="1"/>
  <c r="G493" i="1"/>
  <c r="H493" i="1"/>
  <c r="I493" i="1"/>
  <c r="J493" i="1"/>
  <c r="K493" i="1"/>
  <c r="L493" i="1"/>
  <c r="M493" i="1"/>
  <c r="N493" i="1"/>
  <c r="O493" i="1"/>
  <c r="P493" i="1"/>
  <c r="R493" i="1"/>
  <c r="S493" i="1"/>
  <c r="T493" i="1"/>
  <c r="U493" i="1"/>
  <c r="V493" i="1"/>
  <c r="C509" i="1"/>
  <c r="E15" i="6"/>
  <c r="D15" i="6"/>
  <c r="B445" i="1"/>
  <c r="B448" i="1"/>
  <c r="C448" i="1"/>
  <c r="D448" i="1"/>
  <c r="E448" i="1"/>
  <c r="F448" i="1"/>
  <c r="G447" i="1"/>
  <c r="G448" i="1"/>
  <c r="H448" i="1"/>
  <c r="I448" i="1"/>
  <c r="J448" i="1"/>
  <c r="K448" i="1"/>
  <c r="L447" i="1"/>
  <c r="L448" i="1"/>
  <c r="M448" i="1"/>
  <c r="N448" i="1"/>
  <c r="O448" i="1"/>
  <c r="P448" i="1"/>
  <c r="Q447" i="1"/>
  <c r="Q448" i="1"/>
  <c r="R448" i="1"/>
  <c r="S448" i="1"/>
  <c r="T448" i="1"/>
  <c r="U448" i="1"/>
  <c r="V447" i="1"/>
  <c r="V448" i="1"/>
  <c r="B442" i="1"/>
  <c r="C469" i="1"/>
  <c r="H14" i="6"/>
  <c r="C459" i="1"/>
  <c r="D459" i="1"/>
  <c r="E459" i="1"/>
  <c r="F459" i="1"/>
  <c r="G459" i="1"/>
  <c r="H459" i="1"/>
  <c r="I459" i="1"/>
  <c r="J459" i="1"/>
  <c r="K459" i="1"/>
  <c r="L459" i="1"/>
  <c r="M459" i="1"/>
  <c r="N459" i="1"/>
  <c r="O459" i="1"/>
  <c r="P459" i="1"/>
  <c r="Q459" i="1"/>
  <c r="R459" i="1"/>
  <c r="S459" i="1"/>
  <c r="T459" i="1"/>
  <c r="U459" i="1"/>
  <c r="V459" i="1"/>
  <c r="B459" i="1"/>
  <c r="C468" i="1"/>
  <c r="G14" i="6"/>
  <c r="C454" i="1"/>
  <c r="D454" i="1"/>
  <c r="E453" i="1"/>
  <c r="E454" i="1"/>
  <c r="F453" i="1"/>
  <c r="F454" i="1"/>
  <c r="G453" i="1"/>
  <c r="G454" i="1"/>
  <c r="H453" i="1"/>
  <c r="H454" i="1"/>
  <c r="I453" i="1"/>
  <c r="I454" i="1"/>
  <c r="J453" i="1"/>
  <c r="J454" i="1"/>
  <c r="K453" i="1"/>
  <c r="K454" i="1"/>
  <c r="L453" i="1"/>
  <c r="L454" i="1"/>
  <c r="M453" i="1"/>
  <c r="M454" i="1"/>
  <c r="N453" i="1"/>
  <c r="N454" i="1"/>
  <c r="O454" i="1"/>
  <c r="P452" i="1"/>
  <c r="P453" i="1"/>
  <c r="P454" i="1"/>
  <c r="Q452" i="1"/>
  <c r="Q453" i="1"/>
  <c r="Q454" i="1"/>
  <c r="R452" i="1"/>
  <c r="R453" i="1"/>
  <c r="R454" i="1"/>
  <c r="S452" i="1"/>
  <c r="S453" i="1"/>
  <c r="S454" i="1"/>
  <c r="T452" i="1"/>
  <c r="T453" i="1"/>
  <c r="T454" i="1"/>
  <c r="U452" i="1"/>
  <c r="U453" i="1"/>
  <c r="U454" i="1"/>
  <c r="V452" i="1"/>
  <c r="V453" i="1"/>
  <c r="V454" i="1"/>
  <c r="B454" i="1"/>
  <c r="C467" i="1"/>
  <c r="F14" i="6"/>
  <c r="G449" i="1"/>
  <c r="G450" i="1"/>
  <c r="L449" i="1"/>
  <c r="L450" i="1"/>
  <c r="Q449" i="1"/>
  <c r="Q450" i="1"/>
  <c r="V449" i="1"/>
  <c r="V450" i="1"/>
  <c r="B443" i="1"/>
  <c r="B449" i="1"/>
  <c r="B450" i="1"/>
  <c r="C450" i="1"/>
  <c r="D450" i="1"/>
  <c r="E450" i="1"/>
  <c r="F450" i="1"/>
  <c r="H450" i="1"/>
  <c r="I450" i="1"/>
  <c r="J450" i="1"/>
  <c r="K450" i="1"/>
  <c r="M450" i="1"/>
  <c r="N450" i="1"/>
  <c r="O450" i="1"/>
  <c r="P450" i="1"/>
  <c r="R450" i="1"/>
  <c r="S450" i="1"/>
  <c r="T450" i="1"/>
  <c r="U450" i="1"/>
  <c r="C466" i="1"/>
  <c r="E14" i="6"/>
  <c r="D14" i="6"/>
  <c r="B402" i="1"/>
  <c r="B405" i="1"/>
  <c r="C405" i="1"/>
  <c r="D405" i="1"/>
  <c r="E405" i="1"/>
  <c r="F405" i="1"/>
  <c r="G404" i="1"/>
  <c r="G405" i="1"/>
  <c r="H405" i="1"/>
  <c r="I405" i="1"/>
  <c r="J405" i="1"/>
  <c r="K405" i="1"/>
  <c r="L404" i="1"/>
  <c r="L405" i="1"/>
  <c r="M405" i="1"/>
  <c r="N405" i="1"/>
  <c r="O405" i="1"/>
  <c r="P405" i="1"/>
  <c r="Q404" i="1"/>
  <c r="Q405" i="1"/>
  <c r="R405" i="1"/>
  <c r="S405" i="1"/>
  <c r="T405" i="1"/>
  <c r="U405" i="1"/>
  <c r="V404" i="1"/>
  <c r="V405" i="1"/>
  <c r="B399" i="1"/>
  <c r="C426" i="1"/>
  <c r="H13" i="6"/>
  <c r="C416" i="1"/>
  <c r="D416" i="1"/>
  <c r="E416" i="1"/>
  <c r="F416" i="1"/>
  <c r="G416" i="1"/>
  <c r="H416" i="1"/>
  <c r="I416" i="1"/>
  <c r="J416" i="1"/>
  <c r="K416" i="1"/>
  <c r="L416" i="1"/>
  <c r="M416" i="1"/>
  <c r="N416" i="1"/>
  <c r="O416" i="1"/>
  <c r="P416" i="1"/>
  <c r="Q416" i="1"/>
  <c r="R416" i="1"/>
  <c r="S416" i="1"/>
  <c r="T416" i="1"/>
  <c r="U416" i="1"/>
  <c r="V416" i="1"/>
  <c r="B416" i="1"/>
  <c r="C425" i="1"/>
  <c r="G13" i="6"/>
  <c r="C411" i="1"/>
  <c r="D411" i="1"/>
  <c r="E410" i="1"/>
  <c r="E411" i="1"/>
  <c r="F410" i="1"/>
  <c r="F411" i="1"/>
  <c r="G410" i="1"/>
  <c r="G411" i="1"/>
  <c r="H410" i="1"/>
  <c r="H411" i="1"/>
  <c r="I410" i="1"/>
  <c r="I411" i="1"/>
  <c r="J410" i="1"/>
  <c r="J411" i="1"/>
  <c r="K410" i="1"/>
  <c r="K411" i="1"/>
  <c r="L410" i="1"/>
  <c r="L411" i="1"/>
  <c r="M411" i="1"/>
  <c r="N409" i="1"/>
  <c r="N410" i="1"/>
  <c r="N411" i="1"/>
  <c r="O409" i="1"/>
  <c r="O410" i="1"/>
  <c r="O411" i="1"/>
  <c r="P409" i="1"/>
  <c r="P410" i="1"/>
  <c r="P411" i="1"/>
  <c r="Q409" i="1"/>
  <c r="Q410" i="1"/>
  <c r="Q411" i="1"/>
  <c r="R409" i="1"/>
  <c r="R410" i="1"/>
  <c r="R411" i="1"/>
  <c r="S409" i="1"/>
  <c r="S410" i="1"/>
  <c r="S411" i="1"/>
  <c r="T409" i="1"/>
  <c r="T410" i="1"/>
  <c r="T411" i="1"/>
  <c r="U409" i="1"/>
  <c r="U410" i="1"/>
  <c r="U411" i="1"/>
  <c r="V409" i="1"/>
  <c r="V410" i="1"/>
  <c r="V411" i="1"/>
  <c r="B411" i="1"/>
  <c r="C424" i="1"/>
  <c r="F13" i="6"/>
  <c r="G406" i="1"/>
  <c r="G407" i="1"/>
  <c r="L406" i="1"/>
  <c r="L407" i="1"/>
  <c r="Q406" i="1"/>
  <c r="Q407" i="1"/>
  <c r="V406" i="1"/>
  <c r="V407" i="1"/>
  <c r="B400" i="1"/>
  <c r="B406" i="1"/>
  <c r="B407" i="1"/>
  <c r="C407" i="1"/>
  <c r="D407" i="1"/>
  <c r="E407" i="1"/>
  <c r="F407" i="1"/>
  <c r="H407" i="1"/>
  <c r="I407" i="1"/>
  <c r="J407" i="1"/>
  <c r="K407" i="1"/>
  <c r="M407" i="1"/>
  <c r="N407" i="1"/>
  <c r="O407" i="1"/>
  <c r="P407" i="1"/>
  <c r="R407" i="1"/>
  <c r="S407" i="1"/>
  <c r="T407" i="1"/>
  <c r="U407" i="1"/>
  <c r="C423" i="1"/>
  <c r="E13" i="6"/>
  <c r="D13" i="6"/>
  <c r="B359" i="1"/>
  <c r="B362" i="1"/>
  <c r="C362" i="1"/>
  <c r="D362" i="1"/>
  <c r="E362" i="1"/>
  <c r="F362" i="1"/>
  <c r="G361" i="1"/>
  <c r="G362" i="1"/>
  <c r="H362" i="1"/>
  <c r="I362" i="1"/>
  <c r="J362" i="1"/>
  <c r="K362" i="1"/>
  <c r="L361" i="1"/>
  <c r="L362" i="1"/>
  <c r="M362" i="1"/>
  <c r="N362" i="1"/>
  <c r="O362" i="1"/>
  <c r="P362" i="1"/>
  <c r="Q361" i="1"/>
  <c r="Q362" i="1"/>
  <c r="R362" i="1"/>
  <c r="S362" i="1"/>
  <c r="T362" i="1"/>
  <c r="U362" i="1"/>
  <c r="V361" i="1"/>
  <c r="V362" i="1"/>
  <c r="B356" i="1"/>
  <c r="C383" i="1"/>
  <c r="H12" i="6"/>
  <c r="C373" i="1"/>
  <c r="D373" i="1"/>
  <c r="E373" i="1"/>
  <c r="F373" i="1"/>
  <c r="G373" i="1"/>
  <c r="H373" i="1"/>
  <c r="I373" i="1"/>
  <c r="J373" i="1"/>
  <c r="K373" i="1"/>
  <c r="L373" i="1"/>
  <c r="M373" i="1"/>
  <c r="N373" i="1"/>
  <c r="O373" i="1"/>
  <c r="P373" i="1"/>
  <c r="Q373" i="1"/>
  <c r="R373" i="1"/>
  <c r="S373" i="1"/>
  <c r="T373" i="1"/>
  <c r="U373" i="1"/>
  <c r="V373" i="1"/>
  <c r="B373" i="1"/>
  <c r="C382" i="1"/>
  <c r="G12" i="6"/>
  <c r="C368" i="1"/>
  <c r="D368" i="1"/>
  <c r="E368" i="1"/>
  <c r="F368" i="1"/>
  <c r="G368" i="1"/>
  <c r="H368" i="1"/>
  <c r="I368" i="1"/>
  <c r="J368" i="1"/>
  <c r="K368" i="1"/>
  <c r="L368" i="1"/>
  <c r="M368" i="1"/>
  <c r="N368" i="1"/>
  <c r="O368" i="1"/>
  <c r="P368" i="1"/>
  <c r="Q368" i="1"/>
  <c r="R368" i="1"/>
  <c r="S368" i="1"/>
  <c r="T368" i="1"/>
  <c r="U368" i="1"/>
  <c r="V368" i="1"/>
  <c r="B368" i="1"/>
  <c r="C381" i="1"/>
  <c r="F12" i="6"/>
  <c r="G363" i="1"/>
  <c r="G364" i="1"/>
  <c r="L363" i="1"/>
  <c r="L364" i="1"/>
  <c r="Q363" i="1"/>
  <c r="Q364" i="1"/>
  <c r="V363" i="1"/>
  <c r="V364" i="1"/>
  <c r="B357" i="1"/>
  <c r="B363" i="1"/>
  <c r="B364" i="1"/>
  <c r="C364" i="1"/>
  <c r="D364" i="1"/>
  <c r="E364" i="1"/>
  <c r="F364" i="1"/>
  <c r="H364" i="1"/>
  <c r="I364" i="1"/>
  <c r="J364" i="1"/>
  <c r="K364" i="1"/>
  <c r="M364" i="1"/>
  <c r="N364" i="1"/>
  <c r="O364" i="1"/>
  <c r="P364" i="1"/>
  <c r="R364" i="1"/>
  <c r="S364" i="1"/>
  <c r="T364" i="1"/>
  <c r="U364" i="1"/>
  <c r="C380" i="1"/>
  <c r="E12" i="6"/>
  <c r="D12" i="6"/>
  <c r="B316" i="1"/>
  <c r="B319" i="1"/>
  <c r="C319" i="1"/>
  <c r="D319" i="1"/>
  <c r="E319" i="1"/>
  <c r="F319" i="1"/>
  <c r="G318" i="1"/>
  <c r="G319" i="1"/>
  <c r="H319" i="1"/>
  <c r="I319" i="1"/>
  <c r="J319" i="1"/>
  <c r="K319" i="1"/>
  <c r="L318" i="1"/>
  <c r="L319" i="1"/>
  <c r="M319" i="1"/>
  <c r="N319" i="1"/>
  <c r="O319" i="1"/>
  <c r="P319" i="1"/>
  <c r="Q318" i="1"/>
  <c r="Q319" i="1"/>
  <c r="R319" i="1"/>
  <c r="S319" i="1"/>
  <c r="T319" i="1"/>
  <c r="U319" i="1"/>
  <c r="V318" i="1"/>
  <c r="V319" i="1"/>
  <c r="B313" i="1"/>
  <c r="C340" i="1"/>
  <c r="H11" i="6"/>
  <c r="C330" i="1"/>
  <c r="D330" i="1"/>
  <c r="E330" i="1"/>
  <c r="F330" i="1"/>
  <c r="G330" i="1"/>
  <c r="H330" i="1"/>
  <c r="I330" i="1"/>
  <c r="J330" i="1"/>
  <c r="K330" i="1"/>
  <c r="L330" i="1"/>
  <c r="M330" i="1"/>
  <c r="N330" i="1"/>
  <c r="O330" i="1"/>
  <c r="P330" i="1"/>
  <c r="Q330" i="1"/>
  <c r="R330" i="1"/>
  <c r="S330" i="1"/>
  <c r="T330" i="1"/>
  <c r="U330" i="1"/>
  <c r="V330" i="1"/>
  <c r="B330" i="1"/>
  <c r="C339" i="1"/>
  <c r="G11" i="6"/>
  <c r="C325" i="1"/>
  <c r="D324" i="1"/>
  <c r="D325" i="1"/>
  <c r="E325" i="1"/>
  <c r="F323" i="1"/>
  <c r="F324" i="1"/>
  <c r="F325" i="1"/>
  <c r="G323" i="1"/>
  <c r="G324" i="1"/>
  <c r="G325" i="1"/>
  <c r="H323" i="1"/>
  <c r="H324" i="1"/>
  <c r="H325" i="1"/>
  <c r="I323" i="1"/>
  <c r="I324" i="1"/>
  <c r="I325" i="1"/>
  <c r="J323" i="1"/>
  <c r="J324" i="1"/>
  <c r="J325" i="1"/>
  <c r="K323" i="1"/>
  <c r="K324" i="1"/>
  <c r="K325" i="1"/>
  <c r="L323" i="1"/>
  <c r="L324" i="1"/>
  <c r="L325" i="1"/>
  <c r="M323" i="1"/>
  <c r="M324" i="1"/>
  <c r="M325" i="1"/>
  <c r="N323" i="1"/>
  <c r="N324" i="1"/>
  <c r="N325" i="1"/>
  <c r="O323" i="1"/>
  <c r="O324" i="1"/>
  <c r="O325" i="1"/>
  <c r="P323" i="1"/>
  <c r="P324" i="1"/>
  <c r="P325" i="1"/>
  <c r="Q323" i="1"/>
  <c r="Q324" i="1"/>
  <c r="Q325" i="1"/>
  <c r="R323" i="1"/>
  <c r="R324" i="1"/>
  <c r="R325" i="1"/>
  <c r="S323" i="1"/>
  <c r="S324" i="1"/>
  <c r="S325" i="1"/>
  <c r="T323" i="1"/>
  <c r="T324" i="1"/>
  <c r="T325" i="1"/>
  <c r="U323" i="1"/>
  <c r="U324" i="1"/>
  <c r="U325" i="1"/>
  <c r="V323" i="1"/>
  <c r="V324" i="1"/>
  <c r="V325" i="1"/>
  <c r="B325" i="1"/>
  <c r="C338" i="1"/>
  <c r="F11" i="6"/>
  <c r="G320" i="1"/>
  <c r="G321" i="1"/>
  <c r="L320" i="1"/>
  <c r="L321" i="1"/>
  <c r="Q320" i="1"/>
  <c r="Q321" i="1"/>
  <c r="V320" i="1"/>
  <c r="V321" i="1"/>
  <c r="B314" i="1"/>
  <c r="B320" i="1"/>
  <c r="B321" i="1"/>
  <c r="C321" i="1"/>
  <c r="D321" i="1"/>
  <c r="E321" i="1"/>
  <c r="F321" i="1"/>
  <c r="H321" i="1"/>
  <c r="I321" i="1"/>
  <c r="J321" i="1"/>
  <c r="K321" i="1"/>
  <c r="M321" i="1"/>
  <c r="N321" i="1"/>
  <c r="O321" i="1"/>
  <c r="P321" i="1"/>
  <c r="R321" i="1"/>
  <c r="S321" i="1"/>
  <c r="T321" i="1"/>
  <c r="U321" i="1"/>
  <c r="C337" i="1"/>
  <c r="E11" i="6"/>
  <c r="D11" i="6"/>
  <c r="B276" i="1"/>
  <c r="C276" i="1"/>
  <c r="D276" i="1"/>
  <c r="E276" i="1"/>
  <c r="F276" i="1"/>
  <c r="G276" i="1"/>
  <c r="H276" i="1"/>
  <c r="I276" i="1"/>
  <c r="J276" i="1"/>
  <c r="K276" i="1"/>
  <c r="L275" i="1"/>
  <c r="L276" i="1"/>
  <c r="M276" i="1"/>
  <c r="N276" i="1"/>
  <c r="O276" i="1"/>
  <c r="P276" i="1"/>
  <c r="Q276" i="1"/>
  <c r="R276" i="1"/>
  <c r="S276" i="1"/>
  <c r="T276" i="1"/>
  <c r="U276" i="1"/>
  <c r="V275" i="1"/>
  <c r="V276" i="1"/>
  <c r="B270" i="1"/>
  <c r="C297" i="1"/>
  <c r="H10" i="6"/>
  <c r="C287" i="1"/>
  <c r="D287" i="1"/>
  <c r="E287" i="1"/>
  <c r="F287" i="1"/>
  <c r="G287" i="1"/>
  <c r="H287" i="1"/>
  <c r="I287" i="1"/>
  <c r="J287" i="1"/>
  <c r="K287" i="1"/>
  <c r="L287" i="1"/>
  <c r="M287" i="1"/>
  <c r="N287" i="1"/>
  <c r="O287" i="1"/>
  <c r="P287" i="1"/>
  <c r="Q287" i="1"/>
  <c r="R287" i="1"/>
  <c r="S287" i="1"/>
  <c r="T287" i="1"/>
  <c r="U287" i="1"/>
  <c r="V287" i="1"/>
  <c r="B287" i="1"/>
  <c r="C296" i="1"/>
  <c r="G10" i="6"/>
  <c r="C282" i="1"/>
  <c r="D281" i="1"/>
  <c r="D282" i="1"/>
  <c r="E282" i="1"/>
  <c r="F280" i="1"/>
  <c r="F281" i="1"/>
  <c r="F282" i="1"/>
  <c r="G280" i="1"/>
  <c r="G281" i="1"/>
  <c r="G282" i="1"/>
  <c r="H280" i="1"/>
  <c r="H281" i="1"/>
  <c r="H282" i="1"/>
  <c r="I280" i="1"/>
  <c r="I281" i="1"/>
  <c r="I282" i="1"/>
  <c r="J280" i="1"/>
  <c r="J281" i="1"/>
  <c r="J282" i="1"/>
  <c r="K280" i="1"/>
  <c r="K281" i="1"/>
  <c r="K282" i="1"/>
  <c r="L280" i="1"/>
  <c r="L281" i="1"/>
  <c r="L282" i="1"/>
  <c r="M281" i="1"/>
  <c r="M282" i="1"/>
  <c r="N282" i="1"/>
  <c r="O280" i="1"/>
  <c r="O281" i="1"/>
  <c r="O282" i="1"/>
  <c r="P280" i="1"/>
  <c r="P281" i="1"/>
  <c r="P282" i="1"/>
  <c r="Q280" i="1"/>
  <c r="Q281" i="1"/>
  <c r="Q282" i="1"/>
  <c r="R280" i="1"/>
  <c r="R281" i="1"/>
  <c r="R282" i="1"/>
  <c r="S280" i="1"/>
  <c r="S281" i="1"/>
  <c r="S282" i="1"/>
  <c r="T280" i="1"/>
  <c r="T281" i="1"/>
  <c r="T282" i="1"/>
  <c r="U280" i="1"/>
  <c r="U281" i="1"/>
  <c r="U282" i="1"/>
  <c r="V280" i="1"/>
  <c r="V281" i="1"/>
  <c r="V282" i="1"/>
  <c r="B282" i="1"/>
  <c r="C295" i="1"/>
  <c r="F10" i="6"/>
  <c r="L277" i="1"/>
  <c r="L278" i="1"/>
  <c r="V277" i="1"/>
  <c r="V278" i="1"/>
  <c r="B278" i="1"/>
  <c r="C278" i="1"/>
  <c r="D278" i="1"/>
  <c r="E278" i="1"/>
  <c r="F278" i="1"/>
  <c r="G278" i="1"/>
  <c r="H278" i="1"/>
  <c r="I278" i="1"/>
  <c r="J278" i="1"/>
  <c r="K278" i="1"/>
  <c r="M278" i="1"/>
  <c r="N278" i="1"/>
  <c r="O278" i="1"/>
  <c r="P278" i="1"/>
  <c r="Q278" i="1"/>
  <c r="R278" i="1"/>
  <c r="S278" i="1"/>
  <c r="T278" i="1"/>
  <c r="U278" i="1"/>
  <c r="C294" i="1"/>
  <c r="E10" i="6"/>
  <c r="D10" i="6"/>
  <c r="C246" i="1"/>
  <c r="D246" i="1"/>
  <c r="E246" i="1"/>
  <c r="F246" i="1"/>
  <c r="G232" i="1"/>
  <c r="G234" i="1"/>
  <c r="G246" i="1"/>
  <c r="H246" i="1"/>
  <c r="I246" i="1"/>
  <c r="J246" i="1"/>
  <c r="K246" i="1"/>
  <c r="L232" i="1"/>
  <c r="L234" i="1"/>
  <c r="L246" i="1"/>
  <c r="M246" i="1"/>
  <c r="N246" i="1"/>
  <c r="O246" i="1"/>
  <c r="P246" i="1"/>
  <c r="Q232" i="1"/>
  <c r="Q234" i="1"/>
  <c r="Q246" i="1"/>
  <c r="R246" i="1"/>
  <c r="S246" i="1"/>
  <c r="T246" i="1"/>
  <c r="U246" i="1"/>
  <c r="V232" i="1"/>
  <c r="V234" i="1"/>
  <c r="V246" i="1"/>
  <c r="B246" i="1"/>
  <c r="B233" i="1"/>
  <c r="C233" i="1"/>
  <c r="D233" i="1"/>
  <c r="E233" i="1"/>
  <c r="F233" i="1"/>
  <c r="G233" i="1"/>
  <c r="H233" i="1"/>
  <c r="I233" i="1"/>
  <c r="J233" i="1"/>
  <c r="K233" i="1"/>
  <c r="L233" i="1"/>
  <c r="M233" i="1"/>
  <c r="N233" i="1"/>
  <c r="O233" i="1"/>
  <c r="P233" i="1"/>
  <c r="Q233" i="1"/>
  <c r="R233" i="1"/>
  <c r="S233" i="1"/>
  <c r="T233" i="1"/>
  <c r="U233" i="1"/>
  <c r="V233" i="1"/>
  <c r="B227" i="1"/>
  <c r="C249" i="1"/>
  <c r="P50" i="7"/>
  <c r="A50" i="7"/>
  <c r="I9" i="6"/>
  <c r="C254" i="1"/>
  <c r="H9" i="6"/>
  <c r="C244" i="1"/>
  <c r="D244" i="1"/>
  <c r="E244" i="1"/>
  <c r="F244" i="1"/>
  <c r="G244" i="1"/>
  <c r="H244" i="1"/>
  <c r="I244" i="1"/>
  <c r="J244" i="1"/>
  <c r="K244" i="1"/>
  <c r="L244" i="1"/>
  <c r="M244" i="1"/>
  <c r="N244" i="1"/>
  <c r="O244" i="1"/>
  <c r="P244" i="1"/>
  <c r="Q244" i="1"/>
  <c r="R244" i="1"/>
  <c r="S244" i="1"/>
  <c r="T244" i="1"/>
  <c r="U244" i="1"/>
  <c r="V244" i="1"/>
  <c r="B244" i="1"/>
  <c r="C253" i="1"/>
  <c r="G9" i="6"/>
  <c r="C239" i="1"/>
  <c r="D239" i="1"/>
  <c r="E239" i="1"/>
  <c r="F239" i="1"/>
  <c r="G239" i="1"/>
  <c r="H239" i="1"/>
  <c r="I239" i="1"/>
  <c r="J239" i="1"/>
  <c r="K239" i="1"/>
  <c r="L239" i="1"/>
  <c r="M239" i="1"/>
  <c r="N239" i="1"/>
  <c r="O239" i="1"/>
  <c r="P239" i="1"/>
  <c r="Q239" i="1"/>
  <c r="R239" i="1"/>
  <c r="S239" i="1"/>
  <c r="T239" i="1"/>
  <c r="U239" i="1"/>
  <c r="V239" i="1"/>
  <c r="B239" i="1"/>
  <c r="C252" i="1"/>
  <c r="F9" i="6"/>
  <c r="G235" i="1"/>
  <c r="L235" i="1"/>
  <c r="Q235" i="1"/>
  <c r="V235" i="1"/>
  <c r="B235" i="1"/>
  <c r="C235" i="1"/>
  <c r="D235" i="1"/>
  <c r="E235" i="1"/>
  <c r="F235" i="1"/>
  <c r="H235" i="1"/>
  <c r="I235" i="1"/>
  <c r="J235" i="1"/>
  <c r="K235" i="1"/>
  <c r="M235" i="1"/>
  <c r="N235" i="1"/>
  <c r="O235" i="1"/>
  <c r="P235" i="1"/>
  <c r="R235" i="1"/>
  <c r="S235" i="1"/>
  <c r="T235" i="1"/>
  <c r="U235" i="1"/>
  <c r="C251" i="1"/>
  <c r="E9" i="6"/>
  <c r="D9" i="6"/>
  <c r="B187" i="1"/>
  <c r="B190" i="1"/>
  <c r="C190" i="1"/>
  <c r="D190" i="1"/>
  <c r="E190" i="1"/>
  <c r="F190" i="1"/>
  <c r="G189" i="1"/>
  <c r="G190" i="1"/>
  <c r="H190" i="1"/>
  <c r="I190" i="1"/>
  <c r="J190" i="1"/>
  <c r="K190" i="1"/>
  <c r="L189" i="1"/>
  <c r="L190" i="1"/>
  <c r="M190" i="1"/>
  <c r="N190" i="1"/>
  <c r="O190" i="1"/>
  <c r="P190" i="1"/>
  <c r="Q189" i="1"/>
  <c r="Q190" i="1"/>
  <c r="R190" i="1"/>
  <c r="S190" i="1"/>
  <c r="T190" i="1"/>
  <c r="U190" i="1"/>
  <c r="V189" i="1"/>
  <c r="V190" i="1"/>
  <c r="B184" i="1"/>
  <c r="C211" i="1"/>
  <c r="H8" i="6"/>
  <c r="C201" i="1"/>
  <c r="D201" i="1"/>
  <c r="E201" i="1"/>
  <c r="F201" i="1"/>
  <c r="G201" i="1"/>
  <c r="H201" i="1"/>
  <c r="I201" i="1"/>
  <c r="J201" i="1"/>
  <c r="K201" i="1"/>
  <c r="L201" i="1"/>
  <c r="M201" i="1"/>
  <c r="N201" i="1"/>
  <c r="O201" i="1"/>
  <c r="P201" i="1"/>
  <c r="Q201" i="1"/>
  <c r="R201" i="1"/>
  <c r="S201" i="1"/>
  <c r="T201" i="1"/>
  <c r="U201" i="1"/>
  <c r="V201" i="1"/>
  <c r="B201" i="1"/>
  <c r="C210" i="1"/>
  <c r="G8" i="6"/>
  <c r="C196" i="1"/>
  <c r="D196" i="1"/>
  <c r="E196" i="1"/>
  <c r="F196" i="1"/>
  <c r="G196" i="1"/>
  <c r="H196" i="1"/>
  <c r="I196" i="1"/>
  <c r="J196" i="1"/>
  <c r="K196" i="1"/>
  <c r="L196" i="1"/>
  <c r="M196" i="1"/>
  <c r="N196" i="1"/>
  <c r="O196" i="1"/>
  <c r="P196" i="1"/>
  <c r="Q196" i="1"/>
  <c r="R196" i="1"/>
  <c r="S196" i="1"/>
  <c r="T196" i="1"/>
  <c r="U196" i="1"/>
  <c r="V196" i="1"/>
  <c r="B196" i="1"/>
  <c r="C209" i="1"/>
  <c r="F8" i="6"/>
  <c r="G191" i="1"/>
  <c r="G192" i="1"/>
  <c r="L191" i="1"/>
  <c r="L192" i="1"/>
  <c r="Q191" i="1"/>
  <c r="Q192" i="1"/>
  <c r="V191" i="1"/>
  <c r="V192" i="1"/>
  <c r="B185" i="1"/>
  <c r="B191" i="1"/>
  <c r="B192" i="1"/>
  <c r="C192" i="1"/>
  <c r="D192" i="1"/>
  <c r="E192" i="1"/>
  <c r="F192" i="1"/>
  <c r="H192" i="1"/>
  <c r="I192" i="1"/>
  <c r="J192" i="1"/>
  <c r="K192" i="1"/>
  <c r="M192" i="1"/>
  <c r="N192" i="1"/>
  <c r="O192" i="1"/>
  <c r="P192" i="1"/>
  <c r="R192" i="1"/>
  <c r="S192" i="1"/>
  <c r="T192" i="1"/>
  <c r="U192" i="1"/>
  <c r="C208" i="1"/>
  <c r="E8" i="6"/>
  <c r="D8" i="6"/>
  <c r="C168" i="1"/>
  <c r="H7" i="6"/>
  <c r="C153" i="1"/>
  <c r="D153" i="1"/>
  <c r="E153" i="1"/>
  <c r="F153" i="1"/>
  <c r="G153" i="1"/>
  <c r="H153" i="1"/>
  <c r="I153" i="1"/>
  <c r="J153" i="1"/>
  <c r="K153" i="1"/>
  <c r="L153" i="1"/>
  <c r="M153" i="1"/>
  <c r="N153" i="1"/>
  <c r="O153" i="1"/>
  <c r="P153" i="1"/>
  <c r="Q153" i="1"/>
  <c r="R153" i="1"/>
  <c r="S153" i="1"/>
  <c r="T153" i="1"/>
  <c r="U153" i="1"/>
  <c r="V153" i="1"/>
  <c r="B153" i="1"/>
  <c r="C166" i="1"/>
  <c r="F7" i="6"/>
  <c r="G149" i="1"/>
  <c r="L149" i="1"/>
  <c r="Q149" i="1"/>
  <c r="V149" i="1"/>
  <c r="B149" i="1"/>
  <c r="C149" i="1"/>
  <c r="D149" i="1"/>
  <c r="E149" i="1"/>
  <c r="F149" i="1"/>
  <c r="H149" i="1"/>
  <c r="I149" i="1"/>
  <c r="J149" i="1"/>
  <c r="K149" i="1"/>
  <c r="M149" i="1"/>
  <c r="N149" i="1"/>
  <c r="O149" i="1"/>
  <c r="P149" i="1"/>
  <c r="R149" i="1"/>
  <c r="S149" i="1"/>
  <c r="T149" i="1"/>
  <c r="U149" i="1"/>
  <c r="C165" i="1"/>
  <c r="E7" i="6"/>
  <c r="D7" i="6"/>
  <c r="C78" i="1"/>
  <c r="B78" i="1"/>
  <c r="D78" i="1"/>
  <c r="E78" i="1"/>
  <c r="F78" i="1"/>
  <c r="G78" i="1"/>
  <c r="H78" i="1"/>
  <c r="I78" i="1"/>
  <c r="J78" i="1"/>
  <c r="K78" i="1"/>
  <c r="L78" i="1"/>
  <c r="M78" i="1"/>
  <c r="N78" i="1"/>
  <c r="O78" i="1"/>
  <c r="P78" i="1"/>
  <c r="Q78" i="1"/>
  <c r="R78" i="1"/>
  <c r="S78" i="1"/>
  <c r="T78" i="1"/>
  <c r="U78" i="1"/>
  <c r="V78" i="1"/>
  <c r="C81" i="1"/>
  <c r="P46" i="7"/>
  <c r="A46" i="7"/>
  <c r="I5" i="6"/>
  <c r="C586" i="1"/>
  <c r="D586" i="1"/>
  <c r="E586" i="1"/>
  <c r="F586" i="1"/>
  <c r="G586" i="1"/>
  <c r="H586" i="1"/>
  <c r="I586" i="1"/>
  <c r="J586" i="1"/>
  <c r="K586" i="1"/>
  <c r="L586" i="1"/>
  <c r="M586" i="1"/>
  <c r="N586" i="1"/>
  <c r="O586" i="1"/>
  <c r="P586" i="1"/>
  <c r="Q586" i="1"/>
  <c r="R586" i="1"/>
  <c r="S586" i="1"/>
  <c r="T586" i="1"/>
  <c r="U586" i="1"/>
  <c r="V586" i="1"/>
  <c r="B586" i="1"/>
  <c r="C589" i="1"/>
  <c r="P58" i="7"/>
  <c r="A58" i="7"/>
  <c r="I17" i="6"/>
  <c r="C547" i="1"/>
  <c r="D547" i="1"/>
  <c r="E547" i="1"/>
  <c r="F547" i="1"/>
  <c r="G547" i="1"/>
  <c r="H547" i="1"/>
  <c r="I547" i="1"/>
  <c r="J547" i="1"/>
  <c r="K547" i="1"/>
  <c r="L547" i="1"/>
  <c r="M547" i="1"/>
  <c r="N547" i="1"/>
  <c r="O547" i="1"/>
  <c r="P547" i="1"/>
  <c r="Q547" i="1"/>
  <c r="R547" i="1"/>
  <c r="S547" i="1"/>
  <c r="T547" i="1"/>
  <c r="U547" i="1"/>
  <c r="V547" i="1"/>
  <c r="B547" i="1"/>
  <c r="C550" i="1"/>
  <c r="P57" i="7"/>
  <c r="A57" i="7"/>
  <c r="I16" i="6"/>
  <c r="C461" i="1"/>
  <c r="D461" i="1"/>
  <c r="E461" i="1"/>
  <c r="F461" i="1"/>
  <c r="G461" i="1"/>
  <c r="H461" i="1"/>
  <c r="I461" i="1"/>
  <c r="J461" i="1"/>
  <c r="K461" i="1"/>
  <c r="L461" i="1"/>
  <c r="M461" i="1"/>
  <c r="N461" i="1"/>
  <c r="O461" i="1"/>
  <c r="P461" i="1"/>
  <c r="Q461" i="1"/>
  <c r="R461" i="1"/>
  <c r="S461" i="1"/>
  <c r="T461" i="1"/>
  <c r="U461" i="1"/>
  <c r="V461" i="1"/>
  <c r="B461" i="1"/>
  <c r="C464" i="1"/>
  <c r="P55" i="7"/>
  <c r="A55" i="7"/>
  <c r="I14" i="6"/>
  <c r="C418" i="1"/>
  <c r="B418" i="1"/>
  <c r="D418" i="1"/>
  <c r="E418" i="1"/>
  <c r="F418" i="1"/>
  <c r="G418" i="1"/>
  <c r="H418" i="1"/>
  <c r="I418" i="1"/>
  <c r="J418" i="1"/>
  <c r="K418" i="1"/>
  <c r="L418" i="1"/>
  <c r="M418" i="1"/>
  <c r="N418" i="1"/>
  <c r="O418" i="1"/>
  <c r="P418" i="1"/>
  <c r="Q418" i="1"/>
  <c r="R418" i="1"/>
  <c r="S418" i="1"/>
  <c r="T418" i="1"/>
  <c r="U418" i="1"/>
  <c r="V418" i="1"/>
  <c r="C421" i="1"/>
  <c r="P54" i="7"/>
  <c r="A54" i="7"/>
  <c r="I13" i="6"/>
  <c r="C375" i="1"/>
  <c r="B375" i="1"/>
  <c r="D375" i="1"/>
  <c r="E375" i="1"/>
  <c r="F375" i="1"/>
  <c r="G375" i="1"/>
  <c r="H375" i="1"/>
  <c r="I375" i="1"/>
  <c r="J375" i="1"/>
  <c r="K375" i="1"/>
  <c r="L375" i="1"/>
  <c r="M375" i="1"/>
  <c r="N375" i="1"/>
  <c r="O375" i="1"/>
  <c r="P375" i="1"/>
  <c r="Q375" i="1"/>
  <c r="R375" i="1"/>
  <c r="S375" i="1"/>
  <c r="T375" i="1"/>
  <c r="U375" i="1"/>
  <c r="V375" i="1"/>
  <c r="C378" i="1"/>
  <c r="P53" i="7"/>
  <c r="A53" i="7"/>
  <c r="I12" i="6"/>
  <c r="C332" i="1"/>
  <c r="B332" i="1"/>
  <c r="D332" i="1"/>
  <c r="E332" i="1"/>
  <c r="F332" i="1"/>
  <c r="G332" i="1"/>
  <c r="H332" i="1"/>
  <c r="I332" i="1"/>
  <c r="J332" i="1"/>
  <c r="K332" i="1"/>
  <c r="L332" i="1"/>
  <c r="M332" i="1"/>
  <c r="N332" i="1"/>
  <c r="O332" i="1"/>
  <c r="P332" i="1"/>
  <c r="Q332" i="1"/>
  <c r="R332" i="1"/>
  <c r="S332" i="1"/>
  <c r="T332" i="1"/>
  <c r="U332" i="1"/>
  <c r="V332" i="1"/>
  <c r="C335" i="1"/>
  <c r="P52" i="7"/>
  <c r="A52" i="7"/>
  <c r="I11" i="6"/>
  <c r="C289" i="1"/>
  <c r="D289" i="1"/>
  <c r="E289" i="1"/>
  <c r="F289" i="1"/>
  <c r="G289" i="1"/>
  <c r="H289" i="1"/>
  <c r="I289" i="1"/>
  <c r="J289" i="1"/>
  <c r="K289" i="1"/>
  <c r="L289" i="1"/>
  <c r="M289" i="1"/>
  <c r="N289" i="1"/>
  <c r="O289" i="1"/>
  <c r="P289" i="1"/>
  <c r="Q289" i="1"/>
  <c r="R289" i="1"/>
  <c r="S289" i="1"/>
  <c r="T289" i="1"/>
  <c r="U289" i="1"/>
  <c r="V289" i="1"/>
  <c r="B289" i="1"/>
  <c r="C292" i="1"/>
  <c r="P51" i="7"/>
  <c r="A51" i="7"/>
  <c r="I10" i="6"/>
  <c r="C203" i="1"/>
  <c r="D203" i="1"/>
  <c r="E203" i="1"/>
  <c r="F203" i="1"/>
  <c r="G203" i="1"/>
  <c r="H203" i="1"/>
  <c r="I203" i="1"/>
  <c r="J203" i="1"/>
  <c r="K203" i="1"/>
  <c r="L203" i="1"/>
  <c r="M203" i="1"/>
  <c r="N203" i="1"/>
  <c r="O203" i="1"/>
  <c r="P203" i="1"/>
  <c r="Q203" i="1"/>
  <c r="R203" i="1"/>
  <c r="S203" i="1"/>
  <c r="T203" i="1"/>
  <c r="U203" i="1"/>
  <c r="V203" i="1"/>
  <c r="B203" i="1"/>
  <c r="C206" i="1"/>
  <c r="P49" i="7"/>
  <c r="A49" i="7"/>
  <c r="I8" i="6"/>
  <c r="C39" i="1"/>
  <c r="D39" i="1"/>
  <c r="E39" i="1"/>
  <c r="F39" i="1"/>
  <c r="G39" i="1"/>
  <c r="H39" i="1"/>
  <c r="I39" i="1"/>
  <c r="J39" i="1"/>
  <c r="K39" i="1"/>
  <c r="L39" i="1"/>
  <c r="M39" i="1"/>
  <c r="N39" i="1"/>
  <c r="O39" i="1"/>
  <c r="P39" i="1"/>
  <c r="Q39" i="1"/>
  <c r="R39" i="1"/>
  <c r="S39" i="1"/>
  <c r="T39" i="1"/>
  <c r="U39" i="1"/>
  <c r="V39" i="1"/>
  <c r="B39" i="1"/>
  <c r="C42" i="1"/>
  <c r="P45" i="7"/>
  <c r="A45" i="7"/>
  <c r="I4" i="6"/>
  <c r="J4" i="6"/>
  <c r="B44" i="1"/>
  <c r="B591" i="1"/>
  <c r="B16" i="1"/>
  <c r="B137" i="1"/>
  <c r="B180" i="1"/>
  <c r="B223" i="1"/>
  <c r="B309" i="1"/>
  <c r="B524" i="1"/>
  <c r="B266" i="1"/>
  <c r="B395" i="1"/>
  <c r="B481" i="1"/>
  <c r="B438" i="1"/>
  <c r="B352" i="1"/>
  <c r="B133" i="1"/>
  <c r="B55" i="1"/>
  <c r="B94" i="1"/>
  <c r="B176" i="1"/>
  <c r="B219" i="1"/>
  <c r="B262" i="1"/>
  <c r="B305" i="1"/>
  <c r="B348" i="1"/>
  <c r="B391" i="1"/>
  <c r="B477" i="1"/>
  <c r="B434" i="1"/>
  <c r="B520" i="1"/>
  <c r="B563" i="1"/>
  <c r="B3" i="1"/>
  <c r="F87" i="5"/>
  <c r="F85" i="5"/>
  <c r="F83" i="5"/>
  <c r="F50" i="5"/>
  <c r="F31" i="5"/>
  <c r="F81" i="5"/>
  <c r="F80" i="5"/>
  <c r="F79" i="5"/>
  <c r="F78" i="5"/>
  <c r="F77" i="5"/>
  <c r="F74" i="5"/>
  <c r="F73" i="5"/>
  <c r="F72" i="5"/>
  <c r="F71" i="5"/>
  <c r="F70" i="5"/>
  <c r="F69" i="5"/>
  <c r="F66" i="5"/>
  <c r="F65" i="5"/>
  <c r="F64" i="5"/>
  <c r="F63" i="5"/>
  <c r="F62" i="5"/>
  <c r="F61" i="5"/>
  <c r="F58" i="5"/>
  <c r="F57" i="5"/>
  <c r="F56" i="5"/>
  <c r="F55" i="5"/>
  <c r="F54" i="5"/>
  <c r="F53" i="5"/>
  <c r="F48" i="5"/>
  <c r="F47" i="5"/>
  <c r="F46" i="5"/>
  <c r="F45" i="5"/>
  <c r="F44" i="5"/>
  <c r="F43" i="5"/>
  <c r="F40" i="5"/>
  <c r="F39" i="5"/>
  <c r="F38" i="5"/>
  <c r="F37" i="5"/>
  <c r="F36" i="5"/>
  <c r="F35" i="5"/>
  <c r="F32" i="5"/>
  <c r="F30" i="5"/>
  <c r="F29" i="5"/>
  <c r="F28" i="5"/>
  <c r="F27" i="5"/>
  <c r="D105" i="1"/>
  <c r="E105" i="1"/>
  <c r="F105" i="1"/>
  <c r="H105" i="1"/>
  <c r="I105" i="1"/>
  <c r="J105" i="1"/>
  <c r="K105" i="1"/>
  <c r="M105" i="1"/>
  <c r="N105" i="1"/>
  <c r="O105" i="1"/>
  <c r="P105" i="1"/>
  <c r="R105" i="1"/>
  <c r="S105" i="1"/>
  <c r="T105" i="1"/>
  <c r="U105" i="1"/>
  <c r="F24" i="5"/>
  <c r="F23" i="5"/>
  <c r="F22" i="5"/>
  <c r="F21" i="5"/>
  <c r="F20" i="5"/>
  <c r="F19" i="5"/>
  <c r="F16" i="5"/>
  <c r="F15" i="5"/>
  <c r="F14" i="5"/>
  <c r="F13" i="5"/>
  <c r="F12" i="5"/>
  <c r="F11" i="5"/>
  <c r="F8" i="5"/>
  <c r="F7" i="5"/>
  <c r="F6" i="5"/>
  <c r="F5" i="5"/>
  <c r="F4" i="5"/>
  <c r="F3" i="5"/>
  <c r="C574" i="1"/>
  <c r="D574" i="1"/>
  <c r="E574" i="1"/>
  <c r="F574" i="1"/>
  <c r="G574" i="1"/>
  <c r="H574" i="1"/>
  <c r="I574" i="1"/>
  <c r="J574" i="1"/>
  <c r="K574" i="1"/>
  <c r="L574" i="1"/>
  <c r="M574" i="1"/>
  <c r="N574" i="1"/>
  <c r="O574" i="1"/>
  <c r="P574" i="1"/>
  <c r="R574" i="1"/>
  <c r="S574" i="1"/>
  <c r="T574" i="1"/>
  <c r="U574" i="1"/>
  <c r="V574" i="1"/>
  <c r="C27" i="1"/>
  <c r="D27" i="1"/>
  <c r="E27" i="1"/>
  <c r="F27" i="1"/>
  <c r="H27" i="1"/>
  <c r="I27" i="1"/>
  <c r="J27" i="1"/>
  <c r="K27" i="1"/>
  <c r="M27" i="1"/>
  <c r="N27" i="1"/>
  <c r="O27" i="1"/>
  <c r="P27" i="1"/>
  <c r="R27" i="1"/>
  <c r="S27" i="1"/>
  <c r="T27" i="1"/>
  <c r="U27" i="1"/>
  <c r="C66" i="1"/>
  <c r="D66" i="1"/>
  <c r="E66" i="1"/>
  <c r="F66" i="1"/>
  <c r="H66" i="1"/>
  <c r="I66" i="1"/>
  <c r="J66" i="1"/>
  <c r="K66" i="1"/>
  <c r="M66" i="1"/>
  <c r="N66" i="1"/>
  <c r="O66" i="1"/>
  <c r="P66" i="1"/>
  <c r="R66" i="1"/>
  <c r="S66" i="1"/>
  <c r="T66" i="1"/>
  <c r="U66" i="1"/>
  <c r="C148" i="1"/>
  <c r="D148" i="1"/>
  <c r="E148" i="1"/>
  <c r="F148" i="1"/>
  <c r="H148" i="1"/>
  <c r="I148" i="1"/>
  <c r="J148" i="1"/>
  <c r="K148" i="1"/>
  <c r="M148" i="1"/>
  <c r="N148" i="1"/>
  <c r="O148" i="1"/>
  <c r="P148" i="1"/>
  <c r="R148" i="1"/>
  <c r="S148" i="1"/>
  <c r="T148" i="1"/>
  <c r="U148" i="1"/>
  <c r="C191" i="1"/>
  <c r="D191" i="1"/>
  <c r="E191" i="1"/>
  <c r="F191" i="1"/>
  <c r="H191" i="1"/>
  <c r="I191" i="1"/>
  <c r="J191" i="1"/>
  <c r="K191" i="1"/>
  <c r="M191" i="1"/>
  <c r="N191" i="1"/>
  <c r="O191" i="1"/>
  <c r="P191" i="1"/>
  <c r="R191" i="1"/>
  <c r="S191" i="1"/>
  <c r="T191" i="1"/>
  <c r="U191" i="1"/>
  <c r="D234" i="1"/>
  <c r="E234" i="1"/>
  <c r="F234" i="1"/>
  <c r="H234" i="1"/>
  <c r="I234" i="1"/>
  <c r="J234" i="1"/>
  <c r="K234" i="1"/>
  <c r="M234" i="1"/>
  <c r="N234" i="1"/>
  <c r="O234" i="1"/>
  <c r="P234" i="1"/>
  <c r="R234" i="1"/>
  <c r="S234" i="1"/>
  <c r="T234" i="1"/>
  <c r="U234" i="1"/>
  <c r="C277" i="1"/>
  <c r="D277" i="1"/>
  <c r="E277" i="1"/>
  <c r="F277" i="1"/>
  <c r="G277" i="1"/>
  <c r="H277" i="1"/>
  <c r="I277" i="1"/>
  <c r="J277" i="1"/>
  <c r="K277" i="1"/>
  <c r="M277" i="1"/>
  <c r="N277" i="1"/>
  <c r="O277" i="1"/>
  <c r="P277" i="1"/>
  <c r="Q277" i="1"/>
  <c r="R277" i="1"/>
  <c r="S277" i="1"/>
  <c r="T277" i="1"/>
  <c r="U277" i="1"/>
  <c r="C320" i="1"/>
  <c r="D320" i="1"/>
  <c r="E320" i="1"/>
  <c r="F320" i="1"/>
  <c r="H320" i="1"/>
  <c r="I320" i="1"/>
  <c r="J320" i="1"/>
  <c r="K320" i="1"/>
  <c r="M320" i="1"/>
  <c r="N320" i="1"/>
  <c r="O320" i="1"/>
  <c r="P320" i="1"/>
  <c r="R320" i="1"/>
  <c r="S320" i="1"/>
  <c r="T320" i="1"/>
  <c r="U320" i="1"/>
  <c r="C363" i="1"/>
  <c r="D363" i="1"/>
  <c r="E363" i="1"/>
  <c r="F363" i="1"/>
  <c r="H363" i="1"/>
  <c r="I363" i="1"/>
  <c r="J363" i="1"/>
  <c r="K363" i="1"/>
  <c r="M363" i="1"/>
  <c r="N363" i="1"/>
  <c r="O363" i="1"/>
  <c r="P363" i="1"/>
  <c r="R363" i="1"/>
  <c r="S363" i="1"/>
  <c r="T363" i="1"/>
  <c r="U363" i="1"/>
  <c r="C406" i="1"/>
  <c r="D406" i="1"/>
  <c r="E406" i="1"/>
  <c r="F406" i="1"/>
  <c r="H406" i="1"/>
  <c r="I406" i="1"/>
  <c r="J406" i="1"/>
  <c r="K406" i="1"/>
  <c r="M406" i="1"/>
  <c r="N406" i="1"/>
  <c r="O406" i="1"/>
  <c r="P406" i="1"/>
  <c r="R406" i="1"/>
  <c r="S406" i="1"/>
  <c r="T406" i="1"/>
  <c r="U406" i="1"/>
  <c r="C449" i="1"/>
  <c r="D449" i="1"/>
  <c r="E449" i="1"/>
  <c r="F449" i="1"/>
  <c r="H449" i="1"/>
  <c r="I449" i="1"/>
  <c r="J449" i="1"/>
  <c r="K449" i="1"/>
  <c r="M449" i="1"/>
  <c r="N449" i="1"/>
  <c r="O449" i="1"/>
  <c r="P449" i="1"/>
  <c r="R449" i="1"/>
  <c r="S449" i="1"/>
  <c r="T449" i="1"/>
  <c r="U449" i="1"/>
  <c r="C492" i="1"/>
  <c r="D492" i="1"/>
  <c r="E492" i="1"/>
  <c r="F492" i="1"/>
  <c r="G492" i="1"/>
  <c r="H492" i="1"/>
  <c r="I492" i="1"/>
  <c r="J492" i="1"/>
  <c r="K492" i="1"/>
  <c r="L492" i="1"/>
  <c r="M492" i="1"/>
  <c r="N492" i="1"/>
  <c r="O492" i="1"/>
  <c r="P492" i="1"/>
  <c r="R492" i="1"/>
  <c r="S492" i="1"/>
  <c r="T492" i="1"/>
  <c r="U492" i="1"/>
  <c r="V492" i="1"/>
  <c r="C535" i="1"/>
  <c r="D535" i="1"/>
  <c r="E535" i="1"/>
  <c r="F535" i="1"/>
  <c r="G535" i="1"/>
  <c r="H535" i="1"/>
  <c r="I535" i="1"/>
  <c r="J535" i="1"/>
  <c r="K535" i="1"/>
  <c r="L535" i="1"/>
  <c r="M535" i="1"/>
  <c r="N535" i="1"/>
  <c r="O535" i="1"/>
  <c r="P535" i="1"/>
  <c r="R535" i="1"/>
  <c r="S535" i="1"/>
  <c r="T535" i="1"/>
  <c r="U535" i="1"/>
  <c r="V535" i="1"/>
  <c r="J17" i="6"/>
  <c r="J16" i="6"/>
  <c r="J15" i="6"/>
  <c r="J14" i="6"/>
  <c r="J13" i="6"/>
  <c r="J12" i="6"/>
  <c r="J11" i="6"/>
  <c r="J10" i="6"/>
  <c r="J9" i="6"/>
  <c r="J8" i="6"/>
  <c r="J7" i="6"/>
  <c r="J6" i="6"/>
  <c r="J5" i="6"/>
  <c r="C40" i="1"/>
  <c r="D114" i="2"/>
  <c r="D40" i="2"/>
  <c r="B554" i="1"/>
  <c r="AI57" i="7"/>
  <c r="AH57" i="7"/>
  <c r="AW57" i="7"/>
  <c r="W538" i="1"/>
  <c r="W539" i="1"/>
  <c r="W535" i="1"/>
  <c r="W547" i="1"/>
  <c r="X538" i="1"/>
  <c r="X539" i="1"/>
  <c r="X535" i="1"/>
  <c r="X547" i="1"/>
  <c r="Y538" i="1"/>
  <c r="Y539" i="1"/>
  <c r="Y535" i="1"/>
  <c r="Y547" i="1"/>
  <c r="Z538" i="1"/>
  <c r="Z539" i="1"/>
  <c r="Z535" i="1"/>
  <c r="Z547" i="1"/>
  <c r="AA538" i="1"/>
  <c r="AA539" i="1"/>
  <c r="AA535" i="1"/>
  <c r="AA547" i="1"/>
  <c r="W534" i="1"/>
  <c r="X534" i="1"/>
  <c r="Y534" i="1"/>
  <c r="Z534" i="1"/>
  <c r="AA534" i="1"/>
  <c r="D550" i="1"/>
  <c r="D57" i="7"/>
  <c r="W147" i="1"/>
  <c r="X147" i="1"/>
  <c r="Y147" i="1"/>
  <c r="Z147" i="1"/>
  <c r="AA147" i="1"/>
  <c r="W151" i="1"/>
  <c r="W152" i="1"/>
  <c r="W148" i="1"/>
  <c r="W160" i="1"/>
  <c r="X151" i="1"/>
  <c r="X152" i="1"/>
  <c r="X148" i="1"/>
  <c r="X160" i="1"/>
  <c r="Y151" i="1"/>
  <c r="Y152" i="1"/>
  <c r="Y148" i="1"/>
  <c r="Y160" i="1"/>
  <c r="Z151" i="1"/>
  <c r="Z152" i="1"/>
  <c r="Z148" i="1"/>
  <c r="Z160" i="1"/>
  <c r="AA151" i="1"/>
  <c r="AA152" i="1"/>
  <c r="AA148" i="1"/>
  <c r="AA160" i="1"/>
  <c r="D163" i="1"/>
  <c r="D48" i="7"/>
  <c r="W319" i="1"/>
  <c r="X319" i="1"/>
  <c r="Y319" i="1"/>
  <c r="Z319" i="1"/>
  <c r="AA319" i="1"/>
  <c r="W323" i="1"/>
  <c r="W324" i="1"/>
  <c r="W320" i="1"/>
  <c r="W332" i="1"/>
  <c r="X323" i="1"/>
  <c r="X324" i="1"/>
  <c r="X320" i="1"/>
  <c r="X332" i="1"/>
  <c r="Y323" i="1"/>
  <c r="Y324" i="1"/>
  <c r="Y320" i="1"/>
  <c r="Y332" i="1"/>
  <c r="Z323" i="1"/>
  <c r="Z324" i="1"/>
  <c r="Z320" i="1"/>
  <c r="Z332" i="1"/>
  <c r="AA323" i="1"/>
  <c r="AA324" i="1"/>
  <c r="AA320" i="1"/>
  <c r="AA332" i="1"/>
  <c r="D335" i="1"/>
  <c r="D52" i="7"/>
  <c r="W448" i="1"/>
  <c r="X448" i="1"/>
  <c r="Y448" i="1"/>
  <c r="Z448" i="1"/>
  <c r="AA448" i="1"/>
  <c r="W452" i="1"/>
  <c r="W453" i="1"/>
  <c r="W449" i="1"/>
  <c r="W461" i="1"/>
  <c r="X452" i="1"/>
  <c r="X453" i="1"/>
  <c r="X449" i="1"/>
  <c r="X461" i="1"/>
  <c r="Y452" i="1"/>
  <c r="Y453" i="1"/>
  <c r="Y449" i="1"/>
  <c r="Y461" i="1"/>
  <c r="Z452" i="1"/>
  <c r="Z453" i="1"/>
  <c r="Z449" i="1"/>
  <c r="Z461" i="1"/>
  <c r="AA452" i="1"/>
  <c r="AA453" i="1"/>
  <c r="AA449" i="1"/>
  <c r="AA461" i="1"/>
  <c r="D464" i="1"/>
  <c r="D55" i="7"/>
  <c r="W495" i="1"/>
  <c r="W496" i="1"/>
  <c r="W492" i="1"/>
  <c r="W504" i="1"/>
  <c r="X495" i="1"/>
  <c r="X496" i="1"/>
  <c r="X492" i="1"/>
  <c r="X504" i="1"/>
  <c r="Y495" i="1"/>
  <c r="Y496" i="1"/>
  <c r="Y492" i="1"/>
  <c r="Y504" i="1"/>
  <c r="Z495" i="1"/>
  <c r="Z496" i="1"/>
  <c r="Z492" i="1"/>
  <c r="Z504" i="1"/>
  <c r="AA495" i="1"/>
  <c r="AA496" i="1"/>
  <c r="AA492" i="1"/>
  <c r="AA504" i="1"/>
  <c r="W491" i="1"/>
  <c r="X491" i="1"/>
  <c r="Y491" i="1"/>
  <c r="Z491" i="1"/>
  <c r="AA491" i="1"/>
  <c r="D507" i="1"/>
  <c r="D56" i="7"/>
  <c r="W26" i="1"/>
  <c r="X26" i="1"/>
  <c r="Y26" i="1"/>
  <c r="Z26" i="1"/>
  <c r="AA26" i="1"/>
  <c r="V35" i="1"/>
  <c r="W34" i="1"/>
  <c r="W36" i="1"/>
  <c r="W30" i="1"/>
  <c r="W31" i="1"/>
  <c r="W27" i="1"/>
  <c r="W39" i="1"/>
  <c r="W35" i="1"/>
  <c r="X34" i="1"/>
  <c r="X36" i="1"/>
  <c r="X30" i="1"/>
  <c r="X31" i="1"/>
  <c r="X27" i="1"/>
  <c r="X39" i="1"/>
  <c r="X35" i="1"/>
  <c r="Y34" i="1"/>
  <c r="Y36" i="1"/>
  <c r="Y30" i="1"/>
  <c r="Y31" i="1"/>
  <c r="Y27" i="1"/>
  <c r="Y39" i="1"/>
  <c r="Y35" i="1"/>
  <c r="Z34" i="1"/>
  <c r="Z36" i="1"/>
  <c r="Z30" i="1"/>
  <c r="Z31" i="1"/>
  <c r="Z27" i="1"/>
  <c r="Z39" i="1"/>
  <c r="Z35" i="1"/>
  <c r="AA34" i="1"/>
  <c r="AA36" i="1"/>
  <c r="AA30" i="1"/>
  <c r="AA31" i="1"/>
  <c r="AA27" i="1"/>
  <c r="AA39" i="1"/>
  <c r="D42" i="1"/>
  <c r="D45" i="7"/>
  <c r="W191" i="1"/>
  <c r="W203" i="1"/>
  <c r="X191" i="1"/>
  <c r="X203" i="1"/>
  <c r="Y191" i="1"/>
  <c r="Y203" i="1"/>
  <c r="Z191" i="1"/>
  <c r="Z203" i="1"/>
  <c r="AA191" i="1"/>
  <c r="AA203" i="1"/>
  <c r="W190" i="1"/>
  <c r="X190" i="1"/>
  <c r="Y190" i="1"/>
  <c r="Z190" i="1"/>
  <c r="AA190" i="1"/>
  <c r="D206" i="1"/>
  <c r="D49" i="7"/>
  <c r="W234" i="1"/>
  <c r="W246" i="1"/>
  <c r="X234" i="1"/>
  <c r="X246" i="1"/>
  <c r="Y234" i="1"/>
  <c r="Y246" i="1"/>
  <c r="Z234" i="1"/>
  <c r="Z246" i="1"/>
  <c r="AA234" i="1"/>
  <c r="AA246" i="1"/>
  <c r="W233" i="1"/>
  <c r="X233" i="1"/>
  <c r="Y233" i="1"/>
  <c r="Z233" i="1"/>
  <c r="AA233" i="1"/>
  <c r="D249" i="1"/>
  <c r="D50" i="7"/>
  <c r="W281" i="1"/>
  <c r="W277" i="1"/>
  <c r="W289" i="1"/>
  <c r="X280" i="1"/>
  <c r="X281" i="1"/>
  <c r="X277" i="1"/>
  <c r="X289" i="1"/>
  <c r="Y280" i="1"/>
  <c r="Y281" i="1"/>
  <c r="Y277" i="1"/>
  <c r="Y289" i="1"/>
  <c r="Z280" i="1"/>
  <c r="Z281" i="1"/>
  <c r="Z277" i="1"/>
  <c r="Z289" i="1"/>
  <c r="AA280" i="1"/>
  <c r="AA281" i="1"/>
  <c r="AA277" i="1"/>
  <c r="AA289" i="1"/>
  <c r="W276" i="1"/>
  <c r="X276" i="1"/>
  <c r="Y276" i="1"/>
  <c r="Z276" i="1"/>
  <c r="AA276" i="1"/>
  <c r="D292" i="1"/>
  <c r="D51" i="7"/>
  <c r="W363" i="1"/>
  <c r="W375" i="1"/>
  <c r="X363" i="1"/>
  <c r="X375" i="1"/>
  <c r="Y363" i="1"/>
  <c r="Y375" i="1"/>
  <c r="Z363" i="1"/>
  <c r="Z375" i="1"/>
  <c r="AA363" i="1"/>
  <c r="AA375" i="1"/>
  <c r="W362" i="1"/>
  <c r="X362" i="1"/>
  <c r="Y362" i="1"/>
  <c r="Z362" i="1"/>
  <c r="AA362" i="1"/>
  <c r="D378" i="1"/>
  <c r="D53" i="7"/>
  <c r="W409" i="1"/>
  <c r="W410" i="1"/>
  <c r="W406" i="1"/>
  <c r="W418" i="1"/>
  <c r="X409" i="1"/>
  <c r="X410" i="1"/>
  <c r="X406" i="1"/>
  <c r="X418" i="1"/>
  <c r="Y409" i="1"/>
  <c r="Y410" i="1"/>
  <c r="Y406" i="1"/>
  <c r="Y418" i="1"/>
  <c r="Z409" i="1"/>
  <c r="Z410" i="1"/>
  <c r="Z406" i="1"/>
  <c r="Z418" i="1"/>
  <c r="AA409" i="1"/>
  <c r="AA410" i="1"/>
  <c r="AA406" i="1"/>
  <c r="AA418" i="1"/>
  <c r="W405" i="1"/>
  <c r="X405" i="1"/>
  <c r="Y405" i="1"/>
  <c r="Z405" i="1"/>
  <c r="AA405" i="1"/>
  <c r="D421" i="1"/>
  <c r="D54" i="7"/>
  <c r="V582" i="1"/>
  <c r="W581" i="1"/>
  <c r="W583" i="1"/>
  <c r="W577" i="1"/>
  <c r="W578" i="1"/>
  <c r="W574" i="1"/>
  <c r="W586" i="1"/>
  <c r="W582" i="1"/>
  <c r="X581" i="1"/>
  <c r="X583" i="1"/>
  <c r="X577" i="1"/>
  <c r="X578" i="1"/>
  <c r="X574" i="1"/>
  <c r="X586" i="1"/>
  <c r="X582" i="1"/>
  <c r="Y581" i="1"/>
  <c r="Y583" i="1"/>
  <c r="Y577" i="1"/>
  <c r="Y578" i="1"/>
  <c r="Y574" i="1"/>
  <c r="Y586" i="1"/>
  <c r="Y582" i="1"/>
  <c r="Z581" i="1"/>
  <c r="Z583" i="1"/>
  <c r="Z577" i="1"/>
  <c r="Z578" i="1"/>
  <c r="Z574" i="1"/>
  <c r="Z586" i="1"/>
  <c r="Z582" i="1"/>
  <c r="AA581" i="1"/>
  <c r="AA583" i="1"/>
  <c r="AA577" i="1"/>
  <c r="AA578" i="1"/>
  <c r="AA574" i="1"/>
  <c r="AA586" i="1"/>
  <c r="W573" i="1"/>
  <c r="X573" i="1"/>
  <c r="Y573" i="1"/>
  <c r="Z573" i="1"/>
  <c r="AA573" i="1"/>
  <c r="D589" i="1"/>
  <c r="D58" i="7"/>
  <c r="V74" i="1"/>
  <c r="W73" i="1"/>
  <c r="W75" i="1"/>
  <c r="W69" i="1"/>
  <c r="W70" i="1"/>
  <c r="W66" i="1"/>
  <c r="W78" i="1"/>
  <c r="W74" i="1"/>
  <c r="X73" i="1"/>
  <c r="X75" i="1"/>
  <c r="X69" i="1"/>
  <c r="X70" i="1"/>
  <c r="X66" i="1"/>
  <c r="X78" i="1"/>
  <c r="X74" i="1"/>
  <c r="Y73" i="1"/>
  <c r="Y75" i="1"/>
  <c r="Y69" i="1"/>
  <c r="Y70" i="1"/>
  <c r="Y66" i="1"/>
  <c r="Y78" i="1"/>
  <c r="Y74" i="1"/>
  <c r="Z73" i="1"/>
  <c r="Z75" i="1"/>
  <c r="Z69" i="1"/>
  <c r="Z70" i="1"/>
  <c r="Z66" i="1"/>
  <c r="Z78" i="1"/>
  <c r="Z74" i="1"/>
  <c r="AA73" i="1"/>
  <c r="AA75" i="1"/>
  <c r="AA69" i="1"/>
  <c r="AA70" i="1"/>
  <c r="AA66" i="1"/>
  <c r="AA78" i="1"/>
  <c r="W65" i="1"/>
  <c r="X65" i="1"/>
  <c r="Y65" i="1"/>
  <c r="Z65" i="1"/>
  <c r="AA65" i="1"/>
  <c r="D81" i="1"/>
  <c r="D46" i="7"/>
  <c r="V113" i="1"/>
  <c r="W112" i="1"/>
  <c r="W114" i="1"/>
  <c r="W105" i="1"/>
  <c r="W117" i="1"/>
  <c r="W113" i="1"/>
  <c r="X112" i="1"/>
  <c r="X114" i="1"/>
  <c r="X105" i="1"/>
  <c r="X117" i="1"/>
  <c r="X113" i="1"/>
  <c r="Y112" i="1"/>
  <c r="Y114" i="1"/>
  <c r="Y105" i="1"/>
  <c r="Y117" i="1"/>
  <c r="Y113" i="1"/>
  <c r="Z112" i="1"/>
  <c r="Z114" i="1"/>
  <c r="Z105" i="1"/>
  <c r="Z117" i="1"/>
  <c r="Z113" i="1"/>
  <c r="AA112" i="1"/>
  <c r="AA114" i="1"/>
  <c r="AA105" i="1"/>
  <c r="AA117" i="1"/>
  <c r="W104" i="1"/>
  <c r="X104" i="1"/>
  <c r="Y104" i="1"/>
  <c r="Z104" i="1"/>
  <c r="AA104" i="1"/>
  <c r="D120" i="1"/>
  <c r="D47" i="7"/>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D11" i="4"/>
  <c r="E11" i="4"/>
  <c r="E10" i="4"/>
  <c r="E9" i="4"/>
  <c r="E8" i="4"/>
  <c r="E7" i="4"/>
  <c r="E6" i="4"/>
  <c r="E5" i="4"/>
  <c r="E4" i="4"/>
  <c r="E3" i="4"/>
  <c r="B2" i="1"/>
  <c r="D115" i="2"/>
  <c r="D41" i="2"/>
  <c r="D113" i="2"/>
  <c r="D39" i="2"/>
  <c r="D112" i="2"/>
  <c r="D38" i="2"/>
  <c r="D111" i="2"/>
  <c r="D37" i="2"/>
  <c r="D110" i="2"/>
  <c r="D36" i="2"/>
  <c r="D109" i="2"/>
  <c r="D35" i="2"/>
  <c r="D108" i="2"/>
  <c r="D34" i="2"/>
  <c r="D107" i="2"/>
  <c r="D33" i="2"/>
  <c r="D106" i="2"/>
  <c r="D32" i="2"/>
  <c r="D105" i="2"/>
  <c r="D31" i="2"/>
  <c r="D104" i="2"/>
  <c r="D30" i="2"/>
  <c r="D103" i="2"/>
  <c r="D29" i="2"/>
  <c r="D102" i="2"/>
  <c r="D28" i="2"/>
  <c r="D101" i="2"/>
  <c r="D27" i="2"/>
  <c r="D100" i="2"/>
  <c r="D26" i="2"/>
  <c r="D99" i="2"/>
  <c r="D25" i="2"/>
  <c r="D98" i="2"/>
  <c r="D24" i="2"/>
  <c r="D97" i="2"/>
  <c r="D23" i="2"/>
  <c r="D96" i="2"/>
  <c r="D22" i="2"/>
  <c r="D95" i="2"/>
  <c r="D21" i="2"/>
  <c r="D94" i="2"/>
  <c r="D20" i="2"/>
  <c r="D93" i="2"/>
  <c r="D19" i="2"/>
  <c r="D92" i="2"/>
  <c r="D18" i="2"/>
  <c r="D91" i="2"/>
  <c r="D17" i="2"/>
  <c r="D90" i="2"/>
  <c r="D16" i="2"/>
  <c r="D89" i="2"/>
  <c r="D15" i="2"/>
  <c r="D88" i="2"/>
  <c r="D14" i="2"/>
  <c r="D87" i="2"/>
  <c r="D13" i="2"/>
  <c r="D86" i="2"/>
  <c r="D12" i="2"/>
  <c r="D85" i="2"/>
  <c r="D11" i="2"/>
  <c r="D84" i="2"/>
  <c r="D10" i="2"/>
  <c r="D83" i="2"/>
  <c r="D9" i="2"/>
  <c r="D82" i="2"/>
  <c r="D8" i="2"/>
  <c r="D81" i="2"/>
  <c r="D7" i="2"/>
  <c r="D79" i="2"/>
  <c r="D5" i="2"/>
  <c r="D78" i="2"/>
  <c r="D4" i="2"/>
  <c r="D77" i="2"/>
  <c r="D3" i="2"/>
  <c r="D80" i="2"/>
  <c r="D6" i="2"/>
  <c r="B550" i="1"/>
  <c r="AB57" i="7"/>
  <c r="AN57" i="7"/>
  <c r="C548" i="1"/>
  <c r="D548" i="1"/>
  <c r="E548" i="1"/>
  <c r="F548" i="1"/>
  <c r="G548" i="1"/>
  <c r="H548" i="1"/>
  <c r="I548" i="1"/>
  <c r="J548" i="1"/>
  <c r="K548" i="1"/>
  <c r="L548" i="1"/>
  <c r="M548" i="1"/>
  <c r="N548" i="1"/>
  <c r="O548" i="1"/>
  <c r="P548" i="1"/>
  <c r="Q548" i="1"/>
  <c r="R548" i="1"/>
  <c r="S548" i="1"/>
  <c r="T548" i="1"/>
  <c r="U548" i="1"/>
  <c r="V548" i="1"/>
  <c r="W548" i="1"/>
  <c r="X548" i="1"/>
  <c r="Y548" i="1"/>
  <c r="Z548" i="1"/>
  <c r="AA548" i="1"/>
  <c r="B548" i="1"/>
  <c r="D551" i="1"/>
  <c r="AA543" i="1"/>
  <c r="B555" i="1"/>
  <c r="AK57" i="7"/>
  <c r="B553" i="1"/>
  <c r="AG57" i="7"/>
  <c r="B552" i="1"/>
  <c r="AE57" i="7"/>
  <c r="B551" i="1"/>
  <c r="AC57" i="7"/>
  <c r="Y57" i="7"/>
  <c r="W57" i="7"/>
  <c r="U57" i="7"/>
  <c r="S57" i="7"/>
  <c r="C551" i="1"/>
  <c r="Q57" i="7"/>
  <c r="B512" i="1"/>
  <c r="AK56" i="7"/>
  <c r="B511" i="1"/>
  <c r="AI56" i="7"/>
  <c r="B510" i="1"/>
  <c r="AG56" i="7"/>
  <c r="B509" i="1"/>
  <c r="AE56" i="7"/>
  <c r="C505" i="1"/>
  <c r="D505" i="1"/>
  <c r="E505" i="1"/>
  <c r="F505" i="1"/>
  <c r="G505" i="1"/>
  <c r="H505" i="1"/>
  <c r="I505" i="1"/>
  <c r="J505" i="1"/>
  <c r="K505" i="1"/>
  <c r="L505" i="1"/>
  <c r="M505" i="1"/>
  <c r="N505" i="1"/>
  <c r="O505" i="1"/>
  <c r="P505" i="1"/>
  <c r="Q505" i="1"/>
  <c r="B505" i="1"/>
  <c r="B508" i="1"/>
  <c r="AC56" i="7"/>
  <c r="B507" i="1"/>
  <c r="AB56" i="7"/>
  <c r="Y56" i="7"/>
  <c r="W56" i="7"/>
  <c r="U56" i="7"/>
  <c r="S56" i="7"/>
  <c r="R505" i="1"/>
  <c r="S505" i="1"/>
  <c r="T505" i="1"/>
  <c r="U505" i="1"/>
  <c r="V505" i="1"/>
  <c r="C508" i="1"/>
  <c r="Q56" i="7"/>
  <c r="B297" i="1"/>
  <c r="AK51" i="7"/>
  <c r="B296" i="1"/>
  <c r="AI51" i="7"/>
  <c r="B295" i="1"/>
  <c r="AG51" i="7"/>
  <c r="B294" i="1"/>
  <c r="AE51" i="7"/>
  <c r="C290" i="1"/>
  <c r="D290" i="1"/>
  <c r="E290" i="1"/>
  <c r="F290" i="1"/>
  <c r="G290" i="1"/>
  <c r="H290" i="1"/>
  <c r="I290" i="1"/>
  <c r="J290" i="1"/>
  <c r="K290" i="1"/>
  <c r="L290" i="1"/>
  <c r="M290" i="1"/>
  <c r="N290" i="1"/>
  <c r="O290" i="1"/>
  <c r="P290" i="1"/>
  <c r="Q290" i="1"/>
  <c r="B290" i="1"/>
  <c r="B293" i="1"/>
  <c r="AC51" i="7"/>
  <c r="B292" i="1"/>
  <c r="AB51" i="7"/>
  <c r="Y51" i="7"/>
  <c r="W51" i="7"/>
  <c r="U51" i="7"/>
  <c r="S51" i="7"/>
  <c r="R290" i="1"/>
  <c r="S290" i="1"/>
  <c r="T290" i="1"/>
  <c r="U290" i="1"/>
  <c r="V290" i="1"/>
  <c r="C293" i="1"/>
  <c r="Q51" i="7"/>
  <c r="D555" i="1"/>
  <c r="M57" i="7"/>
  <c r="W545" i="1"/>
  <c r="X545" i="1"/>
  <c r="Y545" i="1"/>
  <c r="Z545" i="1"/>
  <c r="AA545" i="1"/>
  <c r="D554" i="1"/>
  <c r="K57" i="7"/>
  <c r="W540" i="1"/>
  <c r="X540" i="1"/>
  <c r="Y540" i="1"/>
  <c r="Z540" i="1"/>
  <c r="AA540" i="1"/>
  <c r="D553" i="1"/>
  <c r="I57" i="7"/>
  <c r="W536" i="1"/>
  <c r="X536" i="1"/>
  <c r="Y536" i="1"/>
  <c r="Z536" i="1"/>
  <c r="AA536" i="1"/>
  <c r="D552" i="1"/>
  <c r="G57" i="7"/>
  <c r="E57" i="7"/>
  <c r="D512" i="1"/>
  <c r="M56" i="7"/>
  <c r="W502" i="1"/>
  <c r="X502" i="1"/>
  <c r="Y502" i="1"/>
  <c r="Z502" i="1"/>
  <c r="AA502" i="1"/>
  <c r="D511" i="1"/>
  <c r="K56" i="7"/>
  <c r="W497" i="1"/>
  <c r="X497" i="1"/>
  <c r="Y497" i="1"/>
  <c r="Z497" i="1"/>
  <c r="AA497" i="1"/>
  <c r="D510" i="1"/>
  <c r="I56" i="7"/>
  <c r="W493" i="1"/>
  <c r="X493" i="1"/>
  <c r="Y493" i="1"/>
  <c r="Z493" i="1"/>
  <c r="AA493" i="1"/>
  <c r="D509" i="1"/>
  <c r="G56" i="7"/>
  <c r="W505" i="1"/>
  <c r="X505" i="1"/>
  <c r="Y505" i="1"/>
  <c r="Z505" i="1"/>
  <c r="AA505" i="1"/>
  <c r="D508" i="1"/>
  <c r="E56" i="7"/>
  <c r="D297" i="1"/>
  <c r="M51" i="7"/>
  <c r="W287" i="1"/>
  <c r="X287" i="1"/>
  <c r="Y287" i="1"/>
  <c r="Z287" i="1"/>
  <c r="AA287" i="1"/>
  <c r="D296" i="1"/>
  <c r="K51" i="7"/>
  <c r="W282" i="1"/>
  <c r="X282" i="1"/>
  <c r="Y282" i="1"/>
  <c r="Z282" i="1"/>
  <c r="AA282" i="1"/>
  <c r="D295" i="1"/>
  <c r="I51" i="7"/>
  <c r="W278" i="1"/>
  <c r="X278" i="1"/>
  <c r="Y278" i="1"/>
  <c r="Z278" i="1"/>
  <c r="AA278" i="1"/>
  <c r="D294" i="1"/>
  <c r="G51" i="7"/>
  <c r="W290" i="1"/>
  <c r="X290" i="1"/>
  <c r="Y290" i="1"/>
  <c r="Z290" i="1"/>
  <c r="AA290" i="1"/>
  <c r="D293" i="1"/>
  <c r="E51" i="7"/>
  <c r="D36" i="5"/>
  <c r="B7" i="1"/>
  <c r="J51" i="7"/>
  <c r="AY51" i="7"/>
  <c r="V51" i="7"/>
  <c r="AX51" i="7"/>
  <c r="AH51" i="7"/>
  <c r="AW51" i="7"/>
  <c r="H51" i="7"/>
  <c r="AV51" i="7"/>
  <c r="T51" i="7"/>
  <c r="AU51" i="7"/>
  <c r="AF51" i="7"/>
  <c r="AT51" i="7"/>
  <c r="F51" i="7"/>
  <c r="AS51" i="7"/>
  <c r="R51" i="7"/>
  <c r="AR51" i="7"/>
  <c r="AD51" i="7"/>
  <c r="AQ51" i="7"/>
  <c r="AP51" i="7"/>
  <c r="AO51" i="7"/>
  <c r="AN51" i="7"/>
  <c r="AJ51" i="7"/>
  <c r="X51" i="7"/>
  <c r="L51" i="7"/>
  <c r="J56" i="7"/>
  <c r="AY56" i="7"/>
  <c r="V56" i="7"/>
  <c r="AX56" i="7"/>
  <c r="AH56" i="7"/>
  <c r="AW56" i="7"/>
  <c r="H56" i="7"/>
  <c r="AV56" i="7"/>
  <c r="T56" i="7"/>
  <c r="AU56" i="7"/>
  <c r="AF56" i="7"/>
  <c r="AT56" i="7"/>
  <c r="F56" i="7"/>
  <c r="AS56" i="7"/>
  <c r="R56" i="7"/>
  <c r="AR56" i="7"/>
  <c r="AD56" i="7"/>
  <c r="AQ56" i="7"/>
  <c r="AP56" i="7"/>
  <c r="AO56" i="7"/>
  <c r="AN56" i="7"/>
  <c r="AJ56" i="7"/>
  <c r="X56" i="7"/>
  <c r="L56" i="7"/>
  <c r="D39" i="5"/>
  <c r="D38" i="5"/>
  <c r="D40" i="5"/>
  <c r="D35" i="5"/>
  <c r="D7" i="5"/>
  <c r="D6" i="5"/>
  <c r="D8" i="5"/>
  <c r="D3" i="5"/>
  <c r="D15" i="5"/>
  <c r="D14" i="5"/>
  <c r="D16" i="5"/>
  <c r="D11" i="5"/>
  <c r="D23" i="5"/>
  <c r="D22" i="5"/>
  <c r="D24" i="5"/>
  <c r="D19" i="5"/>
  <c r="D20" i="5"/>
  <c r="D31" i="5"/>
  <c r="D30" i="5"/>
  <c r="D32" i="5"/>
  <c r="D27" i="5"/>
  <c r="D57" i="5"/>
  <c r="D56" i="5"/>
  <c r="D58" i="5"/>
  <c r="D53" i="5"/>
  <c r="D65" i="5"/>
  <c r="D64" i="5"/>
  <c r="D66" i="5"/>
  <c r="D61" i="5"/>
  <c r="D73" i="5"/>
  <c r="D72" i="5"/>
  <c r="D74" i="5"/>
  <c r="D69" i="5"/>
  <c r="D70" i="5"/>
  <c r="D80" i="5"/>
  <c r="D79" i="5"/>
  <c r="D77" i="5"/>
  <c r="D81" i="5"/>
  <c r="D47" i="5"/>
  <c r="D46" i="5"/>
  <c r="D48" i="5"/>
  <c r="D43" i="5"/>
  <c r="D44" i="5"/>
  <c r="B589" i="1"/>
  <c r="AB58" i="7"/>
  <c r="B42" i="1"/>
  <c r="AB45" i="7"/>
  <c r="B81" i="1"/>
  <c r="AB46" i="7"/>
  <c r="B120" i="1"/>
  <c r="AB47" i="7"/>
  <c r="B163" i="1"/>
  <c r="AB48" i="7"/>
  <c r="B206" i="1"/>
  <c r="AB49" i="7"/>
  <c r="B249" i="1"/>
  <c r="AB50" i="7"/>
  <c r="B335" i="1"/>
  <c r="AB52" i="7"/>
  <c r="B378" i="1"/>
  <c r="AB53" i="7"/>
  <c r="B421" i="1"/>
  <c r="AB54" i="7"/>
  <c r="B464" i="1"/>
  <c r="AB55" i="7"/>
  <c r="A1" i="6"/>
  <c r="C587" i="1"/>
  <c r="D587" i="1"/>
  <c r="E587" i="1"/>
  <c r="F587" i="1"/>
  <c r="G587" i="1"/>
  <c r="H587" i="1"/>
  <c r="I587" i="1"/>
  <c r="J587" i="1"/>
  <c r="K587" i="1"/>
  <c r="L587" i="1"/>
  <c r="M587" i="1"/>
  <c r="N587" i="1"/>
  <c r="O587" i="1"/>
  <c r="P587" i="1"/>
  <c r="Q587" i="1"/>
  <c r="R587" i="1"/>
  <c r="S587" i="1"/>
  <c r="T587" i="1"/>
  <c r="U587" i="1"/>
  <c r="V587" i="1"/>
  <c r="W587" i="1"/>
  <c r="X587" i="1"/>
  <c r="Y587" i="1"/>
  <c r="Z587" i="1"/>
  <c r="AA587" i="1"/>
  <c r="B587" i="1"/>
  <c r="D590" i="1"/>
  <c r="W575" i="1"/>
  <c r="X575" i="1"/>
  <c r="Y575" i="1"/>
  <c r="Z575" i="1"/>
  <c r="AA575" i="1"/>
  <c r="D591" i="1"/>
  <c r="W579" i="1"/>
  <c r="X579" i="1"/>
  <c r="Y579" i="1"/>
  <c r="Z579" i="1"/>
  <c r="AA579" i="1"/>
  <c r="D592" i="1"/>
  <c r="W584" i="1"/>
  <c r="X584" i="1"/>
  <c r="Y584" i="1"/>
  <c r="Z584" i="1"/>
  <c r="AA584" i="1"/>
  <c r="D593" i="1"/>
  <c r="C590" i="1"/>
  <c r="B590" i="1"/>
  <c r="B592" i="1"/>
  <c r="B593" i="1"/>
  <c r="D594" i="1"/>
  <c r="B594" i="1"/>
  <c r="C462" i="1"/>
  <c r="D462" i="1"/>
  <c r="E462" i="1"/>
  <c r="F462" i="1"/>
  <c r="G462" i="1"/>
  <c r="H462" i="1"/>
  <c r="I462" i="1"/>
  <c r="J462" i="1"/>
  <c r="K462" i="1"/>
  <c r="L462" i="1"/>
  <c r="M462" i="1"/>
  <c r="N462" i="1"/>
  <c r="O462" i="1"/>
  <c r="P462" i="1"/>
  <c r="Q462" i="1"/>
  <c r="R462" i="1"/>
  <c r="S462" i="1"/>
  <c r="T462" i="1"/>
  <c r="U462" i="1"/>
  <c r="V462" i="1"/>
  <c r="W462" i="1"/>
  <c r="X462" i="1"/>
  <c r="Y462" i="1"/>
  <c r="Z462" i="1"/>
  <c r="AA462" i="1"/>
  <c r="B462" i="1"/>
  <c r="D465" i="1"/>
  <c r="W450" i="1"/>
  <c r="X450" i="1"/>
  <c r="Y450" i="1"/>
  <c r="Z450" i="1"/>
  <c r="AA450" i="1"/>
  <c r="D466" i="1"/>
  <c r="W454" i="1"/>
  <c r="X454" i="1"/>
  <c r="Y454" i="1"/>
  <c r="Z454" i="1"/>
  <c r="AA454" i="1"/>
  <c r="D467" i="1"/>
  <c r="W459" i="1"/>
  <c r="X459" i="1"/>
  <c r="Y459" i="1"/>
  <c r="Z459" i="1"/>
  <c r="AA459" i="1"/>
  <c r="D468" i="1"/>
  <c r="C465" i="1"/>
  <c r="B465" i="1"/>
  <c r="B466" i="1"/>
  <c r="B467" i="1"/>
  <c r="B468" i="1"/>
  <c r="D469" i="1"/>
  <c r="B469" i="1"/>
  <c r="C419" i="1"/>
  <c r="D419" i="1"/>
  <c r="E419" i="1"/>
  <c r="F419" i="1"/>
  <c r="G419" i="1"/>
  <c r="H419" i="1"/>
  <c r="I419" i="1"/>
  <c r="J419" i="1"/>
  <c r="K419" i="1"/>
  <c r="L419" i="1"/>
  <c r="M419" i="1"/>
  <c r="N419" i="1"/>
  <c r="O419" i="1"/>
  <c r="P419" i="1"/>
  <c r="Q419" i="1"/>
  <c r="R419" i="1"/>
  <c r="S419" i="1"/>
  <c r="T419" i="1"/>
  <c r="U419" i="1"/>
  <c r="V419" i="1"/>
  <c r="W419" i="1"/>
  <c r="X419" i="1"/>
  <c r="Y419" i="1"/>
  <c r="Z419" i="1"/>
  <c r="AA419" i="1"/>
  <c r="B419" i="1"/>
  <c r="D422" i="1"/>
  <c r="W407" i="1"/>
  <c r="X407" i="1"/>
  <c r="Y407" i="1"/>
  <c r="Z407" i="1"/>
  <c r="AA407" i="1"/>
  <c r="D423" i="1"/>
  <c r="W411" i="1"/>
  <c r="X411" i="1"/>
  <c r="Y411" i="1"/>
  <c r="Z411" i="1"/>
  <c r="AA411" i="1"/>
  <c r="D424" i="1"/>
  <c r="W416" i="1"/>
  <c r="X416" i="1"/>
  <c r="Y416" i="1"/>
  <c r="Z416" i="1"/>
  <c r="AA416" i="1"/>
  <c r="D425" i="1"/>
  <c r="C422" i="1"/>
  <c r="B422" i="1"/>
  <c r="B423" i="1"/>
  <c r="B424" i="1"/>
  <c r="B425" i="1"/>
  <c r="D426" i="1"/>
  <c r="B426" i="1"/>
  <c r="C376" i="1"/>
  <c r="D376" i="1"/>
  <c r="E376" i="1"/>
  <c r="F376" i="1"/>
  <c r="G376" i="1"/>
  <c r="H376" i="1"/>
  <c r="I376" i="1"/>
  <c r="J376" i="1"/>
  <c r="K376" i="1"/>
  <c r="L376" i="1"/>
  <c r="M376" i="1"/>
  <c r="N376" i="1"/>
  <c r="O376" i="1"/>
  <c r="P376" i="1"/>
  <c r="Q376" i="1"/>
  <c r="R376" i="1"/>
  <c r="S376" i="1"/>
  <c r="T376" i="1"/>
  <c r="U376" i="1"/>
  <c r="V376" i="1"/>
  <c r="W376" i="1"/>
  <c r="X376" i="1"/>
  <c r="Y376" i="1"/>
  <c r="Z376" i="1"/>
  <c r="AA376" i="1"/>
  <c r="B376" i="1"/>
  <c r="D379" i="1"/>
  <c r="W364" i="1"/>
  <c r="X364" i="1"/>
  <c r="Y364" i="1"/>
  <c r="Z364" i="1"/>
  <c r="AA364" i="1"/>
  <c r="D380" i="1"/>
  <c r="W368" i="1"/>
  <c r="X368" i="1"/>
  <c r="Y368" i="1"/>
  <c r="Z368" i="1"/>
  <c r="AA368" i="1"/>
  <c r="D381" i="1"/>
  <c r="W373" i="1"/>
  <c r="X373" i="1"/>
  <c r="Y373" i="1"/>
  <c r="Z373" i="1"/>
  <c r="AA373" i="1"/>
  <c r="D382" i="1"/>
  <c r="C379" i="1"/>
  <c r="B379" i="1"/>
  <c r="B380" i="1"/>
  <c r="B381" i="1"/>
  <c r="B382" i="1"/>
  <c r="D383" i="1"/>
  <c r="B383" i="1"/>
  <c r="C333" i="1"/>
  <c r="D333" i="1"/>
  <c r="E333" i="1"/>
  <c r="F333" i="1"/>
  <c r="G333" i="1"/>
  <c r="H333" i="1"/>
  <c r="I333" i="1"/>
  <c r="J333" i="1"/>
  <c r="K333" i="1"/>
  <c r="L333" i="1"/>
  <c r="M333" i="1"/>
  <c r="N333" i="1"/>
  <c r="O333" i="1"/>
  <c r="P333" i="1"/>
  <c r="Q333" i="1"/>
  <c r="R333" i="1"/>
  <c r="S333" i="1"/>
  <c r="T333" i="1"/>
  <c r="U333" i="1"/>
  <c r="V333" i="1"/>
  <c r="W333" i="1"/>
  <c r="X333" i="1"/>
  <c r="Y333" i="1"/>
  <c r="Z333" i="1"/>
  <c r="AA333" i="1"/>
  <c r="B333" i="1"/>
  <c r="D336" i="1"/>
  <c r="W321" i="1"/>
  <c r="X321" i="1"/>
  <c r="Y321" i="1"/>
  <c r="Z321" i="1"/>
  <c r="AA321" i="1"/>
  <c r="D337" i="1"/>
  <c r="W325" i="1"/>
  <c r="X325" i="1"/>
  <c r="Y325" i="1"/>
  <c r="Z325" i="1"/>
  <c r="AA325" i="1"/>
  <c r="D338" i="1"/>
  <c r="W330" i="1"/>
  <c r="X330" i="1"/>
  <c r="Y330" i="1"/>
  <c r="Z330" i="1"/>
  <c r="AA330" i="1"/>
  <c r="D339" i="1"/>
  <c r="C336" i="1"/>
  <c r="B336" i="1"/>
  <c r="B337" i="1"/>
  <c r="B338" i="1"/>
  <c r="B339" i="1"/>
  <c r="D340" i="1"/>
  <c r="B340" i="1"/>
  <c r="C247" i="1"/>
  <c r="D247" i="1"/>
  <c r="E247" i="1"/>
  <c r="F247" i="1"/>
  <c r="G247" i="1"/>
  <c r="H247" i="1"/>
  <c r="I247" i="1"/>
  <c r="J247" i="1"/>
  <c r="K247" i="1"/>
  <c r="L247" i="1"/>
  <c r="M247" i="1"/>
  <c r="N247" i="1"/>
  <c r="O247" i="1"/>
  <c r="P247" i="1"/>
  <c r="Q247" i="1"/>
  <c r="R247" i="1"/>
  <c r="S247" i="1"/>
  <c r="T247" i="1"/>
  <c r="U247" i="1"/>
  <c r="V247" i="1"/>
  <c r="W247" i="1"/>
  <c r="X247" i="1"/>
  <c r="Y247" i="1"/>
  <c r="Z247" i="1"/>
  <c r="AA247" i="1"/>
  <c r="B247" i="1"/>
  <c r="D250" i="1"/>
  <c r="W235" i="1"/>
  <c r="X235" i="1"/>
  <c r="Y235" i="1"/>
  <c r="Z235" i="1"/>
  <c r="AA235" i="1"/>
  <c r="D251" i="1"/>
  <c r="W239" i="1"/>
  <c r="X239" i="1"/>
  <c r="Y239" i="1"/>
  <c r="Z239" i="1"/>
  <c r="AA239" i="1"/>
  <c r="D252" i="1"/>
  <c r="W244" i="1"/>
  <c r="X244" i="1"/>
  <c r="Y244" i="1"/>
  <c r="Z244" i="1"/>
  <c r="AA244" i="1"/>
  <c r="D253" i="1"/>
  <c r="C250" i="1"/>
  <c r="B250" i="1"/>
  <c r="B251" i="1"/>
  <c r="B252" i="1"/>
  <c r="B253" i="1"/>
  <c r="D254" i="1"/>
  <c r="B254" i="1"/>
  <c r="C204" i="1"/>
  <c r="D204" i="1"/>
  <c r="E204" i="1"/>
  <c r="F204" i="1"/>
  <c r="G204" i="1"/>
  <c r="H204" i="1"/>
  <c r="I204" i="1"/>
  <c r="J204" i="1"/>
  <c r="K204" i="1"/>
  <c r="L204" i="1"/>
  <c r="M204" i="1"/>
  <c r="N204" i="1"/>
  <c r="O204" i="1"/>
  <c r="P204" i="1"/>
  <c r="Q204" i="1"/>
  <c r="R204" i="1"/>
  <c r="S204" i="1"/>
  <c r="T204" i="1"/>
  <c r="U204" i="1"/>
  <c r="V204" i="1"/>
  <c r="W204" i="1"/>
  <c r="X204" i="1"/>
  <c r="Y204" i="1"/>
  <c r="Z204" i="1"/>
  <c r="AA204" i="1"/>
  <c r="B204" i="1"/>
  <c r="D207" i="1"/>
  <c r="W192" i="1"/>
  <c r="X192" i="1"/>
  <c r="Y192" i="1"/>
  <c r="Z192" i="1"/>
  <c r="AA192" i="1"/>
  <c r="D208" i="1"/>
  <c r="W196" i="1"/>
  <c r="X196" i="1"/>
  <c r="Y196" i="1"/>
  <c r="Z196" i="1"/>
  <c r="AA196" i="1"/>
  <c r="D209" i="1"/>
  <c r="W201" i="1"/>
  <c r="X201" i="1"/>
  <c r="Y201" i="1"/>
  <c r="Z201" i="1"/>
  <c r="AA201" i="1"/>
  <c r="D210" i="1"/>
  <c r="C207" i="1"/>
  <c r="B207" i="1"/>
  <c r="B208" i="1"/>
  <c r="B209" i="1"/>
  <c r="B210" i="1"/>
  <c r="D211" i="1"/>
  <c r="B211" i="1"/>
  <c r="C161" i="1"/>
  <c r="D161" i="1"/>
  <c r="E161" i="1"/>
  <c r="F161" i="1"/>
  <c r="G161" i="1"/>
  <c r="H161" i="1"/>
  <c r="I161" i="1"/>
  <c r="J161" i="1"/>
  <c r="K161" i="1"/>
  <c r="L161" i="1"/>
  <c r="M161" i="1"/>
  <c r="N161" i="1"/>
  <c r="O161" i="1"/>
  <c r="P161" i="1"/>
  <c r="Q161" i="1"/>
  <c r="R161" i="1"/>
  <c r="S161" i="1"/>
  <c r="T161" i="1"/>
  <c r="U161" i="1"/>
  <c r="V161" i="1"/>
  <c r="W161" i="1"/>
  <c r="X161" i="1"/>
  <c r="Y161" i="1"/>
  <c r="Z161" i="1"/>
  <c r="AA161" i="1"/>
  <c r="B161" i="1"/>
  <c r="D164" i="1"/>
  <c r="W149" i="1"/>
  <c r="X149" i="1"/>
  <c r="Y149" i="1"/>
  <c r="Z149" i="1"/>
  <c r="AA149" i="1"/>
  <c r="D165" i="1"/>
  <c r="W153" i="1"/>
  <c r="X153" i="1"/>
  <c r="Y153" i="1"/>
  <c r="Z153" i="1"/>
  <c r="AA153" i="1"/>
  <c r="D166" i="1"/>
  <c r="W158" i="1"/>
  <c r="X158" i="1"/>
  <c r="Y158" i="1"/>
  <c r="Z158" i="1"/>
  <c r="AA158" i="1"/>
  <c r="D167" i="1"/>
  <c r="C164" i="1"/>
  <c r="B164" i="1"/>
  <c r="B165" i="1"/>
  <c r="B166" i="1"/>
  <c r="B167" i="1"/>
  <c r="D168" i="1"/>
  <c r="B168" i="1"/>
  <c r="C79" i="1"/>
  <c r="D79" i="1"/>
  <c r="E79" i="1"/>
  <c r="F79" i="1"/>
  <c r="G79" i="1"/>
  <c r="H79" i="1"/>
  <c r="I79" i="1"/>
  <c r="J79" i="1"/>
  <c r="K79" i="1"/>
  <c r="L79" i="1"/>
  <c r="M79" i="1"/>
  <c r="N79" i="1"/>
  <c r="O79" i="1"/>
  <c r="P79" i="1"/>
  <c r="Q79" i="1"/>
  <c r="R79" i="1"/>
  <c r="S79" i="1"/>
  <c r="T79" i="1"/>
  <c r="U79" i="1"/>
  <c r="V79" i="1"/>
  <c r="W79" i="1"/>
  <c r="X79" i="1"/>
  <c r="Y79" i="1"/>
  <c r="Z79" i="1"/>
  <c r="AA79" i="1"/>
  <c r="B79" i="1"/>
  <c r="D82" i="1"/>
  <c r="W67" i="1"/>
  <c r="X67" i="1"/>
  <c r="Y67" i="1"/>
  <c r="Z67" i="1"/>
  <c r="AA67" i="1"/>
  <c r="D83" i="1"/>
  <c r="W71" i="1"/>
  <c r="X71" i="1"/>
  <c r="Y71" i="1"/>
  <c r="Z71" i="1"/>
  <c r="AA71" i="1"/>
  <c r="D84" i="1"/>
  <c r="W76" i="1"/>
  <c r="X76" i="1"/>
  <c r="Y76" i="1"/>
  <c r="Z76" i="1"/>
  <c r="AA76" i="1"/>
  <c r="D85" i="1"/>
  <c r="C82" i="1"/>
  <c r="B82" i="1"/>
  <c r="B83" i="1"/>
  <c r="B84" i="1"/>
  <c r="B85" i="1"/>
  <c r="D86" i="1"/>
  <c r="B86" i="1"/>
  <c r="C118" i="1"/>
  <c r="D118" i="1"/>
  <c r="E118" i="1"/>
  <c r="F118" i="1"/>
  <c r="G118" i="1"/>
  <c r="H118" i="1"/>
  <c r="I118" i="1"/>
  <c r="J118" i="1"/>
  <c r="K118" i="1"/>
  <c r="L118" i="1"/>
  <c r="M118" i="1"/>
  <c r="N118" i="1"/>
  <c r="O118" i="1"/>
  <c r="P118" i="1"/>
  <c r="Q118" i="1"/>
  <c r="R118" i="1"/>
  <c r="S118" i="1"/>
  <c r="T118" i="1"/>
  <c r="U118" i="1"/>
  <c r="V118" i="1"/>
  <c r="W118" i="1"/>
  <c r="X118" i="1"/>
  <c r="Y118" i="1"/>
  <c r="Z118" i="1"/>
  <c r="AA118" i="1"/>
  <c r="B118" i="1"/>
  <c r="D121" i="1"/>
  <c r="W106" i="1"/>
  <c r="X106" i="1"/>
  <c r="Y106" i="1"/>
  <c r="Z106" i="1"/>
  <c r="AA106" i="1"/>
  <c r="D122" i="1"/>
  <c r="W110" i="1"/>
  <c r="X110" i="1"/>
  <c r="Y110" i="1"/>
  <c r="Z110" i="1"/>
  <c r="AA110" i="1"/>
  <c r="D123" i="1"/>
  <c r="W115" i="1"/>
  <c r="X115" i="1"/>
  <c r="Y115" i="1"/>
  <c r="Z115" i="1"/>
  <c r="AA115" i="1"/>
  <c r="D124" i="1"/>
  <c r="C121" i="1"/>
  <c r="B121" i="1"/>
  <c r="B122" i="1"/>
  <c r="B123" i="1"/>
  <c r="B124" i="1"/>
  <c r="D125" i="1"/>
  <c r="B125" i="1"/>
  <c r="D40" i="1"/>
  <c r="E40" i="1"/>
  <c r="F40" i="1"/>
  <c r="G40" i="1"/>
  <c r="H40" i="1"/>
  <c r="I40" i="1"/>
  <c r="J40" i="1"/>
  <c r="K40" i="1"/>
  <c r="L40" i="1"/>
  <c r="M40" i="1"/>
  <c r="N40" i="1"/>
  <c r="O40" i="1"/>
  <c r="P40" i="1"/>
  <c r="Q40" i="1"/>
  <c r="R40" i="1"/>
  <c r="S40" i="1"/>
  <c r="T40" i="1"/>
  <c r="U40" i="1"/>
  <c r="V40" i="1"/>
  <c r="W40" i="1"/>
  <c r="X40" i="1"/>
  <c r="Y40" i="1"/>
  <c r="Z40" i="1"/>
  <c r="AA40" i="1"/>
  <c r="B40" i="1"/>
  <c r="D43" i="1"/>
  <c r="W28" i="1"/>
  <c r="X28" i="1"/>
  <c r="Y28" i="1"/>
  <c r="Z28" i="1"/>
  <c r="AA28" i="1"/>
  <c r="D44" i="1"/>
  <c r="W32" i="1"/>
  <c r="X32" i="1"/>
  <c r="Y32" i="1"/>
  <c r="Z32" i="1"/>
  <c r="AA32" i="1"/>
  <c r="D45" i="1"/>
  <c r="W37" i="1"/>
  <c r="X37" i="1"/>
  <c r="Y37" i="1"/>
  <c r="Z37" i="1"/>
  <c r="AA37" i="1"/>
  <c r="D46" i="1"/>
  <c r="C43" i="1"/>
  <c r="B43" i="1"/>
  <c r="B45" i="1"/>
  <c r="B46" i="1"/>
  <c r="D47" i="1"/>
  <c r="B47" i="1"/>
  <c r="AP58" i="7"/>
  <c r="AO58" i="7"/>
  <c r="AN58" i="7"/>
  <c r="AP57" i="7"/>
  <c r="AO57" i="7"/>
  <c r="AP55" i="7"/>
  <c r="AO55" i="7"/>
  <c r="AN55" i="7"/>
  <c r="AP54" i="7"/>
  <c r="AO54" i="7"/>
  <c r="AN54" i="7"/>
  <c r="AP53" i="7"/>
  <c r="AO53" i="7"/>
  <c r="AN53" i="7"/>
  <c r="AP52" i="7"/>
  <c r="AO52" i="7"/>
  <c r="AN52" i="7"/>
  <c r="AP50" i="7"/>
  <c r="AO50" i="7"/>
  <c r="AN50" i="7"/>
  <c r="AP49" i="7"/>
  <c r="AO49" i="7"/>
  <c r="AN49" i="7"/>
  <c r="AP48" i="7"/>
  <c r="AO48" i="7"/>
  <c r="AN48" i="7"/>
  <c r="E68" i="2"/>
  <c r="AP47" i="7"/>
  <c r="AO47" i="7"/>
  <c r="AN47" i="7"/>
  <c r="AP46" i="7"/>
  <c r="AO46" i="7"/>
  <c r="AN46" i="7"/>
  <c r="AP45" i="7"/>
  <c r="AO45" i="7"/>
  <c r="AN45" i="7"/>
  <c r="K58" i="7"/>
  <c r="J58" i="7"/>
  <c r="AY58" i="7"/>
  <c r="W58" i="7"/>
  <c r="V58" i="7"/>
  <c r="AX58" i="7"/>
  <c r="AI58" i="7"/>
  <c r="AH58" i="7"/>
  <c r="AW58" i="7"/>
  <c r="J57" i="7"/>
  <c r="AY57" i="7"/>
  <c r="V57" i="7"/>
  <c r="AX57" i="7"/>
  <c r="K55" i="7"/>
  <c r="J55" i="7"/>
  <c r="AY55" i="7"/>
  <c r="W55" i="7"/>
  <c r="V55" i="7"/>
  <c r="AX55" i="7"/>
  <c r="AI55" i="7"/>
  <c r="AH55" i="7"/>
  <c r="AW55" i="7"/>
  <c r="K54" i="7"/>
  <c r="J54" i="7"/>
  <c r="AY54" i="7"/>
  <c r="W54" i="7"/>
  <c r="V54" i="7"/>
  <c r="AX54" i="7"/>
  <c r="AI54" i="7"/>
  <c r="AH54" i="7"/>
  <c r="AW54" i="7"/>
  <c r="K53" i="7"/>
  <c r="J53" i="7"/>
  <c r="AY53" i="7"/>
  <c r="W53" i="7"/>
  <c r="V53" i="7"/>
  <c r="AX53" i="7"/>
  <c r="AI53" i="7"/>
  <c r="AH53" i="7"/>
  <c r="AW53" i="7"/>
  <c r="K52" i="7"/>
  <c r="J52" i="7"/>
  <c r="AY52" i="7"/>
  <c r="W52" i="7"/>
  <c r="V52" i="7"/>
  <c r="AX52" i="7"/>
  <c r="AI52" i="7"/>
  <c r="AH52" i="7"/>
  <c r="AW52" i="7"/>
  <c r="K50" i="7"/>
  <c r="J50" i="7"/>
  <c r="AY50" i="7"/>
  <c r="W50" i="7"/>
  <c r="V50" i="7"/>
  <c r="AX50" i="7"/>
  <c r="AI50" i="7"/>
  <c r="AH50" i="7"/>
  <c r="AW50" i="7"/>
  <c r="K49" i="7"/>
  <c r="J49" i="7"/>
  <c r="AY49" i="7"/>
  <c r="W49" i="7"/>
  <c r="V49" i="7"/>
  <c r="AX49" i="7"/>
  <c r="AI49" i="7"/>
  <c r="AH49" i="7"/>
  <c r="AW49" i="7"/>
  <c r="K48" i="7"/>
  <c r="J48" i="7"/>
  <c r="AY48" i="7"/>
  <c r="W48" i="7"/>
  <c r="V48" i="7"/>
  <c r="AX48" i="7"/>
  <c r="AI48" i="7"/>
  <c r="AH48" i="7"/>
  <c r="AW48" i="7"/>
  <c r="K47" i="7"/>
  <c r="J47" i="7"/>
  <c r="AY47" i="7"/>
  <c r="W47" i="7"/>
  <c r="V47" i="7"/>
  <c r="AX47" i="7"/>
  <c r="AI47" i="7"/>
  <c r="AH47" i="7"/>
  <c r="AW47" i="7"/>
  <c r="K46" i="7"/>
  <c r="J46" i="7"/>
  <c r="AY46" i="7"/>
  <c r="W46" i="7"/>
  <c r="V46" i="7"/>
  <c r="AX46" i="7"/>
  <c r="AI46" i="7"/>
  <c r="AH46" i="7"/>
  <c r="AW46" i="7"/>
  <c r="K45" i="7"/>
  <c r="J45" i="7"/>
  <c r="AY45" i="7"/>
  <c r="W45" i="7"/>
  <c r="V45" i="7"/>
  <c r="AX45" i="7"/>
  <c r="AI45" i="7"/>
  <c r="AH45" i="7"/>
  <c r="AW45" i="7"/>
  <c r="I58" i="7"/>
  <c r="H58" i="7"/>
  <c r="AV58" i="7"/>
  <c r="U58" i="7"/>
  <c r="T58" i="7"/>
  <c r="AU58" i="7"/>
  <c r="AG58" i="7"/>
  <c r="AF58" i="7"/>
  <c r="AT58" i="7"/>
  <c r="H57" i="7"/>
  <c r="AV57" i="7"/>
  <c r="T57" i="7"/>
  <c r="AU57" i="7"/>
  <c r="AF57" i="7"/>
  <c r="AT57" i="7"/>
  <c r="I55" i="7"/>
  <c r="H55" i="7"/>
  <c r="AV55" i="7"/>
  <c r="U55" i="7"/>
  <c r="T55" i="7"/>
  <c r="AU55" i="7"/>
  <c r="AG55" i="7"/>
  <c r="AF55" i="7"/>
  <c r="AT55" i="7"/>
  <c r="I54" i="7"/>
  <c r="H54" i="7"/>
  <c r="AV54" i="7"/>
  <c r="U54" i="7"/>
  <c r="T54" i="7"/>
  <c r="AU54" i="7"/>
  <c r="AG54" i="7"/>
  <c r="AF54" i="7"/>
  <c r="AT54" i="7"/>
  <c r="I53" i="7"/>
  <c r="H53" i="7"/>
  <c r="AV53" i="7"/>
  <c r="U53" i="7"/>
  <c r="T53" i="7"/>
  <c r="AU53" i="7"/>
  <c r="AG53" i="7"/>
  <c r="AF53" i="7"/>
  <c r="AT53" i="7"/>
  <c r="I52" i="7"/>
  <c r="H52" i="7"/>
  <c r="AV52" i="7"/>
  <c r="U52" i="7"/>
  <c r="T52" i="7"/>
  <c r="AU52" i="7"/>
  <c r="AG52" i="7"/>
  <c r="AF52" i="7"/>
  <c r="AT52" i="7"/>
  <c r="I50" i="7"/>
  <c r="H50" i="7"/>
  <c r="AV50" i="7"/>
  <c r="U50" i="7"/>
  <c r="T50" i="7"/>
  <c r="AU50" i="7"/>
  <c r="AG50" i="7"/>
  <c r="AF50" i="7"/>
  <c r="AT50" i="7"/>
  <c r="I49" i="7"/>
  <c r="H49" i="7"/>
  <c r="AV49" i="7"/>
  <c r="U49" i="7"/>
  <c r="T49" i="7"/>
  <c r="AU49" i="7"/>
  <c r="AG49" i="7"/>
  <c r="AF49" i="7"/>
  <c r="AT49" i="7"/>
  <c r="I48" i="7"/>
  <c r="H48" i="7"/>
  <c r="AV48" i="7"/>
  <c r="U48" i="7"/>
  <c r="T48" i="7"/>
  <c r="AU48" i="7"/>
  <c r="AG48" i="7"/>
  <c r="AF48" i="7"/>
  <c r="AT48" i="7"/>
  <c r="I47" i="7"/>
  <c r="H47" i="7"/>
  <c r="AV47" i="7"/>
  <c r="U47" i="7"/>
  <c r="T47" i="7"/>
  <c r="AU47" i="7"/>
  <c r="AG47" i="7"/>
  <c r="AF47" i="7"/>
  <c r="AT47" i="7"/>
  <c r="I46" i="7"/>
  <c r="H46" i="7"/>
  <c r="AV46" i="7"/>
  <c r="U46" i="7"/>
  <c r="T46" i="7"/>
  <c r="AU46" i="7"/>
  <c r="AG46" i="7"/>
  <c r="AF46" i="7"/>
  <c r="AT46" i="7"/>
  <c r="I45" i="7"/>
  <c r="H45" i="7"/>
  <c r="AV45" i="7"/>
  <c r="U45" i="7"/>
  <c r="T45" i="7"/>
  <c r="AU45" i="7"/>
  <c r="AG45" i="7"/>
  <c r="AF45" i="7"/>
  <c r="AT45" i="7"/>
  <c r="M58" i="7"/>
  <c r="L58" i="7"/>
  <c r="Y58" i="7"/>
  <c r="X58" i="7"/>
  <c r="AK58" i="7"/>
  <c r="AJ58" i="7"/>
  <c r="L57" i="7"/>
  <c r="X57" i="7"/>
  <c r="AJ57" i="7"/>
  <c r="M55" i="7"/>
  <c r="L55" i="7"/>
  <c r="Y55" i="7"/>
  <c r="X55" i="7"/>
  <c r="AK55" i="7"/>
  <c r="AJ55" i="7"/>
  <c r="M54" i="7"/>
  <c r="L54" i="7"/>
  <c r="Y54" i="7"/>
  <c r="X54" i="7"/>
  <c r="AK54" i="7"/>
  <c r="AJ54" i="7"/>
  <c r="M53" i="7"/>
  <c r="L53" i="7"/>
  <c r="Y53" i="7"/>
  <c r="X53" i="7"/>
  <c r="AK53" i="7"/>
  <c r="AJ53" i="7"/>
  <c r="M52" i="7"/>
  <c r="L52" i="7"/>
  <c r="Y52" i="7"/>
  <c r="X52" i="7"/>
  <c r="AK52" i="7"/>
  <c r="AJ52" i="7"/>
  <c r="M50" i="7"/>
  <c r="L50" i="7"/>
  <c r="Y50" i="7"/>
  <c r="X50" i="7"/>
  <c r="AK50" i="7"/>
  <c r="AJ50" i="7"/>
  <c r="M49" i="7"/>
  <c r="L49" i="7"/>
  <c r="Y49" i="7"/>
  <c r="X49" i="7"/>
  <c r="AK49" i="7"/>
  <c r="AJ49" i="7"/>
  <c r="M48" i="7"/>
  <c r="L48" i="7"/>
  <c r="Y48" i="7"/>
  <c r="X48" i="7"/>
  <c r="AK48" i="7"/>
  <c r="AJ48" i="7"/>
  <c r="M47" i="7"/>
  <c r="L47" i="7"/>
  <c r="Y47" i="7"/>
  <c r="X47" i="7"/>
  <c r="AK47" i="7"/>
  <c r="AJ47" i="7"/>
  <c r="M46" i="7"/>
  <c r="L46" i="7"/>
  <c r="Y46" i="7"/>
  <c r="X46" i="7"/>
  <c r="AK46" i="7"/>
  <c r="AJ46" i="7"/>
  <c r="M45" i="7"/>
  <c r="L45" i="7"/>
  <c r="Y45" i="7"/>
  <c r="X45" i="7"/>
  <c r="AK45" i="7"/>
  <c r="AJ45" i="7"/>
  <c r="G58" i="7"/>
  <c r="F58" i="7"/>
  <c r="AS58" i="7"/>
  <c r="F57" i="7"/>
  <c r="AS57" i="7"/>
  <c r="G55" i="7"/>
  <c r="F55" i="7"/>
  <c r="AS55" i="7"/>
  <c r="G54" i="7"/>
  <c r="F54" i="7"/>
  <c r="AS54" i="7"/>
  <c r="G53" i="7"/>
  <c r="F53" i="7"/>
  <c r="AS53" i="7"/>
  <c r="G52" i="7"/>
  <c r="F52" i="7"/>
  <c r="AS52" i="7"/>
  <c r="G50" i="7"/>
  <c r="F50" i="7"/>
  <c r="AS50" i="7"/>
  <c r="G49" i="7"/>
  <c r="F49" i="7"/>
  <c r="AS49" i="7"/>
  <c r="G48" i="7"/>
  <c r="F48" i="7"/>
  <c r="AS48" i="7"/>
  <c r="G47" i="7"/>
  <c r="F47" i="7"/>
  <c r="AS47" i="7"/>
  <c r="G46" i="7"/>
  <c r="F46" i="7"/>
  <c r="AS46" i="7"/>
  <c r="G45" i="7"/>
  <c r="F45" i="7"/>
  <c r="AS45" i="7"/>
  <c r="S58" i="7"/>
  <c r="R58" i="7"/>
  <c r="AR58" i="7"/>
  <c r="R57" i="7"/>
  <c r="AR57" i="7"/>
  <c r="S55" i="7"/>
  <c r="R55" i="7"/>
  <c r="AR55" i="7"/>
  <c r="S54" i="7"/>
  <c r="R54" i="7"/>
  <c r="AR54" i="7"/>
  <c r="S53" i="7"/>
  <c r="R53" i="7"/>
  <c r="AR53" i="7"/>
  <c r="S52" i="7"/>
  <c r="R52" i="7"/>
  <c r="AR52" i="7"/>
  <c r="S50" i="7"/>
  <c r="R50" i="7"/>
  <c r="AR50" i="7"/>
  <c r="S49" i="7"/>
  <c r="R49" i="7"/>
  <c r="AR49" i="7"/>
  <c r="S48" i="7"/>
  <c r="R48" i="7"/>
  <c r="AR48" i="7"/>
  <c r="S47" i="7"/>
  <c r="R47" i="7"/>
  <c r="AR47" i="7"/>
  <c r="S46" i="7"/>
  <c r="R46" i="7"/>
  <c r="AR46" i="7"/>
  <c r="S45" i="7"/>
  <c r="R45" i="7"/>
  <c r="AR45" i="7"/>
  <c r="AE58" i="7"/>
  <c r="AD58" i="7"/>
  <c r="AQ58" i="7"/>
  <c r="AD57" i="7"/>
  <c r="AQ57" i="7"/>
  <c r="AE55" i="7"/>
  <c r="AD55" i="7"/>
  <c r="AQ55" i="7"/>
  <c r="AE54" i="7"/>
  <c r="AD54" i="7"/>
  <c r="AQ54" i="7"/>
  <c r="AE53" i="7"/>
  <c r="AD53" i="7"/>
  <c r="AQ53" i="7"/>
  <c r="AE52" i="7"/>
  <c r="AD52" i="7"/>
  <c r="AQ52" i="7"/>
  <c r="AE50" i="7"/>
  <c r="AD50" i="7"/>
  <c r="AQ50" i="7"/>
  <c r="AE49" i="7"/>
  <c r="AD49" i="7"/>
  <c r="AQ49" i="7"/>
  <c r="AE48" i="7"/>
  <c r="AD48" i="7"/>
  <c r="AQ48" i="7"/>
  <c r="AE47" i="7"/>
  <c r="AD47" i="7"/>
  <c r="AQ47" i="7"/>
  <c r="AE46" i="7"/>
  <c r="AD46" i="7"/>
  <c r="AQ46" i="7"/>
  <c r="AE45" i="7"/>
  <c r="AD45" i="7"/>
  <c r="AQ45" i="7"/>
  <c r="AC58" i="7"/>
  <c r="AC55" i="7"/>
  <c r="AC54" i="7"/>
  <c r="AC53" i="7"/>
  <c r="AC52" i="7"/>
  <c r="AC50" i="7"/>
  <c r="AC49" i="7"/>
  <c r="AC48" i="7"/>
  <c r="AC47" i="7"/>
  <c r="AC46" i="7"/>
  <c r="AC45" i="7"/>
  <c r="Q58" i="7"/>
  <c r="Q55" i="7"/>
  <c r="Q54" i="7"/>
  <c r="Q53" i="7"/>
  <c r="Q52" i="7"/>
  <c r="Q50" i="7"/>
  <c r="Q49" i="7"/>
  <c r="Q48" i="7"/>
  <c r="Q47" i="7"/>
  <c r="Q46" i="7"/>
  <c r="Q45" i="7"/>
  <c r="E58" i="7"/>
  <c r="E55" i="7"/>
  <c r="E54" i="7"/>
  <c r="E53" i="7"/>
  <c r="E52" i="7"/>
  <c r="E50" i="7"/>
  <c r="E49" i="7"/>
  <c r="E48" i="7"/>
  <c r="E47" i="7"/>
  <c r="E46" i="7"/>
  <c r="E45" i="7"/>
  <c r="AA582" i="1"/>
  <c r="AA500" i="1"/>
  <c r="AA285" i="1"/>
  <c r="D78" i="5"/>
  <c r="D71" i="5"/>
  <c r="D63" i="5"/>
  <c r="D62" i="5"/>
  <c r="D55" i="5"/>
  <c r="D54" i="5"/>
  <c r="D45" i="5"/>
  <c r="D37" i="5"/>
  <c r="D29" i="5"/>
  <c r="D28" i="5"/>
  <c r="D21" i="5"/>
  <c r="D13" i="5"/>
  <c r="D12" i="5"/>
  <c r="D5" i="5"/>
  <c r="D4" i="5"/>
  <c r="AA457" i="1"/>
  <c r="AA414" i="1"/>
  <c r="AA371" i="1"/>
  <c r="AA328" i="1"/>
  <c r="AA199" i="1"/>
  <c r="AA242" i="1"/>
  <c r="AA113" i="1"/>
  <c r="AA74" i="1"/>
  <c r="D69" i="2"/>
  <c r="F68" i="2"/>
  <c r="D68" i="2"/>
  <c r="AA156" i="1"/>
  <c r="AA35" i="1"/>
</calcChain>
</file>

<file path=xl/sharedStrings.xml><?xml version="1.0" encoding="utf-8"?>
<sst xmlns="http://schemas.openxmlformats.org/spreadsheetml/2006/main" count="1861" uniqueCount="495">
  <si>
    <t>Cost Item</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</si>
  <si>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</si>
  <si>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</si>
  <si>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</si>
  <si>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</si>
  <si>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</si>
  <si>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</si>
  <si>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</si>
  <si>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</si>
  <si>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</si>
  <si>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</si>
  <si>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</si>
  <si>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</si>
  <si>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</si>
  <si>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</si>
  <si>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</si>
  <si>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</si>
  <si>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</si>
  <si>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</si>
  <si>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</si>
  <si>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</si>
  <si>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Linear Maintenance Cost Trajectory</t>
  </si>
  <si>
    <r>
      <t>Total Capital Costs (NZ$/m</t>
    </r>
    <r>
      <rPr>
        <b/>
        <vertAlign val="superscript"/>
        <sz val="12"/>
        <color indexed="8"/>
        <rFont val="Calibri"/>
        <family val="2"/>
      </rPr>
      <t>2</t>
    </r>
    <r>
      <rPr>
        <b/>
        <sz val="12"/>
        <color indexed="8"/>
        <rFont val="Calibri"/>
        <family val="2"/>
      </rPr>
      <t>)</t>
    </r>
  </si>
  <si>
    <r>
      <t>Maintenance Costs (NZ$/m</t>
    </r>
    <r>
      <rPr>
        <b/>
        <vertAlign val="superscript"/>
        <sz val="12"/>
        <color indexed="8"/>
        <rFont val="Calibri"/>
        <family val="2"/>
      </rPr>
      <t>2</t>
    </r>
    <r>
      <rPr>
        <b/>
        <sz val="12"/>
        <color indexed="8"/>
        <rFont val="Calibri"/>
        <family val="2"/>
      </rPr>
      <t>)</t>
    </r>
  </si>
  <si>
    <r>
      <t>Fuel Costs (NZ$/m</t>
    </r>
    <r>
      <rPr>
        <b/>
        <vertAlign val="superscript"/>
        <sz val="12"/>
        <color indexed="8"/>
        <rFont val="Calibri"/>
        <family val="2"/>
      </rPr>
      <t>2</t>
    </r>
    <r>
      <rPr>
        <b/>
        <sz val="12"/>
        <color indexed="8"/>
        <rFont val="Calibri"/>
        <family val="2"/>
      </rPr>
      <t>)</t>
    </r>
  </si>
  <si>
    <t>Fuel Costs (NZ$/kWh)</t>
  </si>
  <si>
    <t>Region</t>
  </si>
  <si>
    <t>Gas</t>
  </si>
  <si>
    <t>Wood Chip</t>
  </si>
  <si>
    <t>Wood Pellets</t>
  </si>
  <si>
    <t>Auckland</t>
  </si>
  <si>
    <t>Wellington</t>
  </si>
  <si>
    <t>Discount Rate</t>
  </si>
  <si>
    <t>Zone</t>
  </si>
  <si>
    <r>
      <t>Total Costs (NZ$/m</t>
    </r>
    <r>
      <rPr>
        <b/>
        <vertAlign val="superscript"/>
        <sz val="12"/>
        <color indexed="8"/>
        <rFont val="Calibri"/>
        <family val="2"/>
      </rPr>
      <t>2</t>
    </r>
    <r>
      <rPr>
        <b/>
        <sz val="12"/>
        <color indexed="8"/>
        <rFont val="Calibri"/>
        <family val="2"/>
      </rPr>
      <t>)</t>
    </r>
  </si>
  <si>
    <t>Total Costs NZ$</t>
  </si>
  <si>
    <r>
      <t>NPV (NZ$/m</t>
    </r>
    <r>
      <rPr>
        <b/>
        <vertAlign val="superscript"/>
        <sz val="12"/>
        <color indexed="8"/>
        <rFont val="Calibri"/>
        <family val="2"/>
      </rPr>
      <t>2</t>
    </r>
    <r>
      <rPr>
        <b/>
        <sz val="12"/>
        <color indexed="8"/>
        <rFont val="Calibri"/>
        <family val="2"/>
      </rPr>
      <t>)</t>
    </r>
  </si>
  <si>
    <t>NPV NZ$</t>
  </si>
  <si>
    <r>
      <t>Replacement Costs (NZ$/m</t>
    </r>
    <r>
      <rPr>
        <b/>
        <vertAlign val="superscript"/>
        <sz val="12"/>
        <color indexed="8"/>
        <rFont val="Calibri"/>
        <family val="2"/>
      </rPr>
      <t>2</t>
    </r>
    <r>
      <rPr>
        <b/>
        <sz val="12"/>
        <color indexed="8"/>
        <rFont val="Calibri"/>
        <family val="2"/>
      </rPr>
      <t>)</t>
    </r>
  </si>
  <si>
    <t>System</t>
  </si>
  <si>
    <t>A/C Units</t>
  </si>
  <si>
    <t>Gisborne</t>
  </si>
  <si>
    <t>Hamilton</t>
  </si>
  <si>
    <t>Tauranga</t>
  </si>
  <si>
    <t>Rotorua</t>
  </si>
  <si>
    <t>Whakatane</t>
  </si>
  <si>
    <t>Taupo</t>
  </si>
  <si>
    <t>Whanganui</t>
  </si>
  <si>
    <t>Thames</t>
  </si>
  <si>
    <t>Palmerston North</t>
  </si>
  <si>
    <t>Residual Value</t>
  </si>
  <si>
    <t>Year 0</t>
  </si>
  <si>
    <t>Electricity (average unit charge $/kWh)</t>
  </si>
  <si>
    <t>Northland - Kerikeri</t>
  </si>
  <si>
    <t>Northland - Whangarei</t>
  </si>
  <si>
    <t>Auckland - North Shore</t>
  </si>
  <si>
    <t>Auckland - Central</t>
  </si>
  <si>
    <t>Waikato - Cambridge</t>
  </si>
  <si>
    <t>Taranaki - New Plymouth</t>
  </si>
  <si>
    <t>Waikato - Otorohanga</t>
  </si>
  <si>
    <t>Hawkes Bay - Napier</t>
  </si>
  <si>
    <t>Hawkes Bay - Waipukurau</t>
  </si>
  <si>
    <t>Manawatu - Whanganui</t>
  </si>
  <si>
    <t>Manawatu - Dannevirke</t>
  </si>
  <si>
    <t>Kapiti - Paraparaumu</t>
  </si>
  <si>
    <t>Nelson</t>
  </si>
  <si>
    <t>Richmond</t>
  </si>
  <si>
    <t>Westport</t>
  </si>
  <si>
    <t>Greymouth</t>
  </si>
  <si>
    <t>Rangiora</t>
  </si>
  <si>
    <t>Kaiapoi</t>
  </si>
  <si>
    <t>Christchurch</t>
  </si>
  <si>
    <t>Ashburton</t>
  </si>
  <si>
    <t>Timaru</t>
  </si>
  <si>
    <t>Oamaru</t>
  </si>
  <si>
    <t>Dunedin</t>
  </si>
  <si>
    <t>Queenstown</t>
  </si>
  <si>
    <t>Cromwell</t>
  </si>
  <si>
    <t>Balclutha</t>
  </si>
  <si>
    <t>Winton</t>
  </si>
  <si>
    <t>Invercargill</t>
  </si>
  <si>
    <t>Plant Life (years)</t>
  </si>
  <si>
    <r>
      <t>Capital Cost (NZ$/m</t>
    </r>
    <r>
      <rPr>
        <b/>
        <vertAlign val="superscript"/>
        <sz val="12"/>
        <color indexed="8"/>
        <rFont val="Calibri"/>
        <family val="2"/>
      </rPr>
      <t>2</t>
    </r>
    <r>
      <rPr>
        <b/>
        <sz val="12"/>
        <color indexed="8"/>
        <rFont val="Calibri"/>
        <family val="2"/>
      </rPr>
      <t>)</t>
    </r>
  </si>
  <si>
    <t>Fuel Cost (NZ$/kWh)</t>
  </si>
  <si>
    <t>Utilisation Efficiency</t>
  </si>
  <si>
    <t>NPV Capital Costs NZ$</t>
  </si>
  <si>
    <t>NPV Maintenance Costs NZ$</t>
  </si>
  <si>
    <t>Total Capital Costs (NZ$)</t>
  </si>
  <si>
    <t>Maintenance Costs (NZ$)</t>
  </si>
  <si>
    <t>Fuel Costs (NZ$)</t>
  </si>
  <si>
    <t>NPV Fuel Costs NZ$</t>
  </si>
  <si>
    <t>20 Years</t>
  </si>
  <si>
    <t>25 Years</t>
  </si>
  <si>
    <t>Year 21</t>
  </si>
  <si>
    <t>Year 22</t>
  </si>
  <si>
    <t>Year 23</t>
  </si>
  <si>
    <t>Year 24</t>
  </si>
  <si>
    <t>Year 25</t>
  </si>
  <si>
    <t>15 Years</t>
  </si>
  <si>
    <t>Overall Seasonal Efficiency</t>
  </si>
  <si>
    <t>Heat Conversion Efficiency</t>
  </si>
  <si>
    <r>
      <t xml:space="preserve">Heat Pump w/ underfloor heating or fan coils - </t>
    </r>
    <r>
      <rPr>
        <b/>
        <sz val="12"/>
        <color indexed="53"/>
        <rFont val="Calibri"/>
        <family val="2"/>
      </rPr>
      <t>HEATING MODE</t>
    </r>
  </si>
  <si>
    <r>
      <t xml:space="preserve">Heat Pump w/ underfloor heating or fan coils - </t>
    </r>
    <r>
      <rPr>
        <b/>
        <sz val="12"/>
        <color indexed="48"/>
        <rFont val="Calibri"/>
        <family val="2"/>
      </rPr>
      <t>COOLING MODE</t>
    </r>
  </si>
  <si>
    <r>
      <t xml:space="preserve">Heat Pump: split or multi-split - </t>
    </r>
    <r>
      <rPr>
        <b/>
        <sz val="12"/>
        <color indexed="53"/>
        <rFont val="Calibri"/>
        <family val="2"/>
      </rPr>
      <t>HEATING MODE</t>
    </r>
  </si>
  <si>
    <r>
      <t xml:space="preserve">Heat Pump: split or multi-split - </t>
    </r>
    <r>
      <rPr>
        <b/>
        <sz val="12"/>
        <color indexed="48"/>
        <rFont val="Calibri"/>
        <family val="2"/>
      </rPr>
      <t>COOLING MODE</t>
    </r>
  </si>
  <si>
    <t>Electric Radiant Heaters</t>
  </si>
  <si>
    <r>
      <t xml:space="preserve">Packaged Ducted A/C Units - </t>
    </r>
    <r>
      <rPr>
        <b/>
        <sz val="12"/>
        <color indexed="53"/>
        <rFont val="Calibri"/>
        <family val="2"/>
      </rPr>
      <t>HEATING MODE</t>
    </r>
  </si>
  <si>
    <r>
      <t xml:space="preserve">Packaged Ducted A/C Units - </t>
    </r>
    <r>
      <rPr>
        <b/>
        <sz val="12"/>
        <color indexed="48"/>
        <rFont val="Calibri"/>
        <family val="2"/>
      </rPr>
      <t>COOLING MODE</t>
    </r>
  </si>
  <si>
    <t>Boiler w/ radiators, underfloor heating, or fan coils - NON-CONDENSING</t>
  </si>
  <si>
    <t>Boiler w/ radiators, underfloor heating, or fan coils - CONDENSING</t>
  </si>
  <si>
    <r>
      <t>Real Fuel Price Escalation Rates</t>
    </r>
    <r>
      <rPr>
        <b/>
        <sz val="14"/>
        <color indexed="10"/>
        <rFont val="Calibri"/>
        <family val="2"/>
      </rPr>
      <t>*</t>
    </r>
  </si>
  <si>
    <r>
      <t>Project Floor Area (m</t>
    </r>
    <r>
      <rPr>
        <b/>
        <vertAlign val="superscript"/>
        <sz val="12"/>
        <color indexed="8"/>
        <rFont val="Calibri"/>
        <family val="2"/>
      </rPr>
      <t>2</t>
    </r>
    <r>
      <rPr>
        <b/>
        <sz val="12"/>
        <color indexed="8"/>
        <rFont val="Calibri"/>
        <family val="2"/>
      </rPr>
      <t>)</t>
    </r>
  </si>
  <si>
    <t>Ref.</t>
  </si>
  <si>
    <t>Description</t>
  </si>
  <si>
    <r>
      <t>Indicative Capital Cost NZ$/m</t>
    </r>
    <r>
      <rPr>
        <b/>
        <vertAlign val="superscript"/>
        <sz val="14"/>
        <color indexed="9"/>
        <rFont val="Calibri"/>
        <family val="2"/>
      </rPr>
      <t>2</t>
    </r>
  </si>
  <si>
    <t>Central woodchip/pellet boiler and underfloor heating</t>
  </si>
  <si>
    <t>Central woodchip/pellet boiler and radiators</t>
  </si>
  <si>
    <t>Central woodchip/pellet boiler and 2-pipe fan coil units</t>
  </si>
  <si>
    <t>Air-source to water heat pumps and underfloor heating</t>
  </si>
  <si>
    <t>Air-source to water heat pumps and radiators</t>
  </si>
  <si>
    <t>Air-source to water heat pumps and 2-pipe fan coil units</t>
  </si>
  <si>
    <t>Electric radiant heating</t>
  </si>
  <si>
    <t>Rooftop packaged units and ducted air system</t>
  </si>
  <si>
    <t>Life Expectancy (years)</t>
  </si>
  <si>
    <t>Ground-source to water heat pumps and underfloor heating</t>
  </si>
  <si>
    <t>Ground-source to water heat pumps and radiators</t>
  </si>
  <si>
    <t>Ground-source to water heat pumps and 2-pipe fan coil units</t>
  </si>
  <si>
    <t>1a</t>
  </si>
  <si>
    <t>1b</t>
  </si>
  <si>
    <t>Underfloor heating</t>
  </si>
  <si>
    <t>1c</t>
  </si>
  <si>
    <t>Water piping &amp; insulation</t>
  </si>
  <si>
    <t>1d</t>
  </si>
  <si>
    <t>Controllers/outstations</t>
  </si>
  <si>
    <t>1e</t>
  </si>
  <si>
    <t>Software</t>
  </si>
  <si>
    <t>1f</t>
  </si>
  <si>
    <t>Valves</t>
  </si>
  <si>
    <t>2a</t>
  </si>
  <si>
    <t>2b</t>
  </si>
  <si>
    <t>Low temperature radiators</t>
  </si>
  <si>
    <t>3a</t>
  </si>
  <si>
    <t>3b</t>
  </si>
  <si>
    <t>3c</t>
  </si>
  <si>
    <t>3d</t>
  </si>
  <si>
    <t>3e</t>
  </si>
  <si>
    <t>3f</t>
  </si>
  <si>
    <t>Fan coil units</t>
  </si>
  <si>
    <t>4a</t>
  </si>
  <si>
    <t>4b</t>
  </si>
  <si>
    <t>4c</t>
  </si>
  <si>
    <t>4d</t>
  </si>
  <si>
    <t>4e</t>
  </si>
  <si>
    <t>4f</t>
  </si>
  <si>
    <t>5a</t>
  </si>
  <si>
    <t>5b</t>
  </si>
  <si>
    <t>5c</t>
  </si>
  <si>
    <t>5d</t>
  </si>
  <si>
    <t>5e</t>
  </si>
  <si>
    <t>5f</t>
  </si>
  <si>
    <t>6a</t>
  </si>
  <si>
    <t>Central wood chip/pellet boiler</t>
  </si>
  <si>
    <t>8a</t>
  </si>
  <si>
    <t>8b</t>
  </si>
  <si>
    <t>8c</t>
  </si>
  <si>
    <t>8d</t>
  </si>
  <si>
    <t>8e</t>
  </si>
  <si>
    <t>8f</t>
  </si>
  <si>
    <t>9a</t>
  </si>
  <si>
    <t>9b</t>
  </si>
  <si>
    <t>9c</t>
  </si>
  <si>
    <t>9d</t>
  </si>
  <si>
    <t>9e</t>
  </si>
  <si>
    <t>9f</t>
  </si>
  <si>
    <t>10a</t>
  </si>
  <si>
    <t>11a</t>
  </si>
  <si>
    <t>11b</t>
  </si>
  <si>
    <t>11c</t>
  </si>
  <si>
    <t>11d</t>
  </si>
  <si>
    <t>11e</t>
  </si>
  <si>
    <t>10b</t>
  </si>
  <si>
    <t>10c</t>
  </si>
  <si>
    <t>10d</t>
  </si>
  <si>
    <t>10e</t>
  </si>
  <si>
    <t>10f</t>
  </si>
  <si>
    <t>Ductwork, grilles, difusers, dampers</t>
  </si>
  <si>
    <t>Packaged a/c units</t>
  </si>
  <si>
    <t>Heating Utilisation Efficiency</t>
  </si>
  <si>
    <t>Heating Conversion Efficiency</t>
  </si>
  <si>
    <t>Heating Overall Seasonal Efficiency</t>
  </si>
  <si>
    <t>Cooling Conversion Efficiency</t>
  </si>
  <si>
    <t>Cooling Utilisation Efficiency</t>
  </si>
  <si>
    <t>Cooling Overall Seasonal Efficiency</t>
  </si>
  <si>
    <t>Regional Fuel Costs</t>
  </si>
  <si>
    <t>Project Specific</t>
  </si>
  <si>
    <t>Capital Cost Structure</t>
  </si>
  <si>
    <t>System Efficiencies</t>
  </si>
  <si>
    <r>
      <t>Electricity (Estimated Commercial Unit Charge NZ$/kWh)</t>
    </r>
    <r>
      <rPr>
        <b/>
        <sz val="12"/>
        <color indexed="48"/>
        <rFont val="Calibri"/>
        <family val="2"/>
      </rPr>
      <t>*</t>
    </r>
  </si>
  <si>
    <r>
      <t>0.075</t>
    </r>
    <r>
      <rPr>
        <b/>
        <sz val="12"/>
        <color indexed="10"/>
        <rFont val="Calibri"/>
        <family val="2"/>
      </rPr>
      <t>*</t>
    </r>
  </si>
  <si>
    <t>Southland</t>
  </si>
  <si>
    <r>
      <t>0.050</t>
    </r>
    <r>
      <rPr>
        <b/>
        <sz val="12"/>
        <color indexed="10"/>
        <rFont val="Calibri"/>
        <family val="2"/>
      </rPr>
      <t>*</t>
    </r>
  </si>
  <si>
    <r>
      <t>0.057</t>
    </r>
    <r>
      <rPr>
        <b/>
        <sz val="12"/>
        <color indexed="48"/>
        <rFont val="Calibri"/>
        <family val="2"/>
      </rPr>
      <t>*</t>
    </r>
  </si>
  <si>
    <t>*</t>
  </si>
  <si>
    <r>
      <t>0.120</t>
    </r>
    <r>
      <rPr>
        <b/>
        <sz val="12"/>
        <color indexed="48"/>
        <rFont val="Calibri"/>
        <family val="2"/>
      </rPr>
      <t>*</t>
    </r>
  </si>
  <si>
    <t>Whangarei</t>
  </si>
  <si>
    <t>Napier</t>
  </si>
  <si>
    <t>Blenheim</t>
  </si>
  <si>
    <t>Diesel</t>
  </si>
  <si>
    <r>
      <t>0.12</t>
    </r>
    <r>
      <rPr>
        <b/>
        <sz val="12"/>
        <color indexed="13"/>
        <rFont val="Calibri"/>
        <family val="2"/>
      </rPr>
      <t>*</t>
    </r>
  </si>
  <si>
    <r>
      <t>0.140</t>
    </r>
    <r>
      <rPr>
        <b/>
        <sz val="12"/>
        <color indexed="10"/>
        <rFont val="Calibri"/>
        <family val="2"/>
      </rPr>
      <t>*</t>
    </r>
  </si>
  <si>
    <r>
      <t>0.144</t>
    </r>
    <r>
      <rPr>
        <b/>
        <sz val="12"/>
        <color indexed="31"/>
        <rFont val="Calibri"/>
        <family val="2"/>
      </rPr>
      <t>*</t>
    </r>
  </si>
  <si>
    <r>
      <t>0.075</t>
    </r>
    <r>
      <rPr>
        <b/>
        <sz val="12"/>
        <color indexed="31"/>
        <rFont val="Calibri"/>
        <family val="2"/>
      </rPr>
      <t>*</t>
    </r>
  </si>
  <si>
    <r>
      <t>0.080</t>
    </r>
    <r>
      <rPr>
        <b/>
        <sz val="12"/>
        <color indexed="13"/>
        <rFont val="Calibri"/>
        <family val="2"/>
      </rPr>
      <t>*</t>
    </r>
  </si>
  <si>
    <r>
      <t>0.190</t>
    </r>
    <r>
      <rPr>
        <b/>
        <sz val="12"/>
        <color indexed="13"/>
        <rFont val="Calibri"/>
        <family val="2"/>
      </rPr>
      <t>*</t>
    </r>
  </si>
  <si>
    <r>
      <t>0.240</t>
    </r>
    <r>
      <rPr>
        <b/>
        <sz val="12"/>
        <color indexed="22"/>
        <rFont val="Calibri"/>
        <family val="2"/>
      </rPr>
      <t>*</t>
    </r>
  </si>
  <si>
    <r>
      <t>0.180</t>
    </r>
    <r>
      <rPr>
        <b/>
        <sz val="12"/>
        <color indexed="49"/>
        <rFont val="Calibri"/>
        <family val="2"/>
      </rPr>
      <t>*</t>
    </r>
  </si>
  <si>
    <r>
      <t>0.031</t>
    </r>
    <r>
      <rPr>
        <b/>
        <sz val="12"/>
        <color indexed="49"/>
        <rFont val="Calibri"/>
        <family val="2"/>
      </rPr>
      <t>*</t>
    </r>
  </si>
  <si>
    <r>
      <t>0.08</t>
    </r>
    <r>
      <rPr>
        <b/>
        <sz val="12"/>
        <color indexed="49"/>
        <rFont val="Calibri"/>
        <family val="2"/>
      </rPr>
      <t>*</t>
    </r>
  </si>
  <si>
    <t>Regional Energy Costs NZ$/kWh</t>
  </si>
  <si>
    <r>
      <t>Electricity</t>
    </r>
    <r>
      <rPr>
        <b/>
        <sz val="14"/>
        <color indexed="48"/>
        <rFont val="Calibri"/>
        <family val="2"/>
      </rPr>
      <t>*</t>
    </r>
  </si>
  <si>
    <t>Notes</t>
  </si>
  <si>
    <t>Fuel Cost Real Escalation Rate</t>
  </si>
  <si>
    <t>Assuming 5,300 kWh/tonne, delivered cost of NZ$ 350/tonne, 19.1 MJ/kg</t>
  </si>
  <si>
    <t>Assuming 3,500 kWh/tonne (30% moisture), delivered cost of NZ$ 265/tonne, 13 MJ/kg</t>
  </si>
  <si>
    <t>Low</t>
  </si>
  <si>
    <t>Medium</t>
  </si>
  <si>
    <t>High</t>
  </si>
  <si>
    <t>Chip</t>
  </si>
  <si>
    <t>Pellet</t>
  </si>
  <si>
    <r>
      <t>Wood Fuel Prices NZ$/kWh</t>
    </r>
    <r>
      <rPr>
        <b/>
        <sz val="12"/>
        <color indexed="10"/>
        <rFont val="Calibri"/>
        <family val="2"/>
      </rPr>
      <t>*</t>
    </r>
  </si>
  <si>
    <r>
      <t>0.144</t>
    </r>
    <r>
      <rPr>
        <sz val="12"/>
        <color indexed="22"/>
        <rFont val="Calibri"/>
        <family val="2"/>
      </rPr>
      <t>*</t>
    </r>
  </si>
  <si>
    <r>
      <rPr>
        <b/>
        <sz val="12"/>
        <color indexed="22"/>
        <rFont val="Calibri"/>
        <family val="2"/>
      </rPr>
      <t>*</t>
    </r>
    <r>
      <rPr>
        <sz val="12"/>
        <color theme="1"/>
        <rFont val="Calibri"/>
        <family val="2"/>
        <scheme val="minor"/>
      </rPr>
      <t>Beca Beckenham School Report, 2015</t>
    </r>
  </si>
  <si>
    <r>
      <rPr>
        <sz val="12"/>
        <color indexed="53"/>
        <rFont val="Calibri"/>
        <family val="2"/>
      </rPr>
      <t>*</t>
    </r>
    <r>
      <rPr>
        <sz val="12"/>
        <color theme="1"/>
        <rFont val="Calibri"/>
        <family val="2"/>
        <scheme val="minor"/>
      </rPr>
      <t>22 Degrees Garden School Report, 2015</t>
    </r>
  </si>
  <si>
    <r>
      <rPr>
        <b/>
        <sz val="12"/>
        <color indexed="31"/>
        <rFont val="Calibri"/>
        <family val="2"/>
      </rPr>
      <t>*</t>
    </r>
    <r>
      <rPr>
        <sz val="12"/>
        <color theme="1"/>
        <rFont val="Calibri"/>
        <family val="2"/>
        <scheme val="minor"/>
      </rPr>
      <t>Beca Waitakiri Primary School Report, 2014</t>
    </r>
  </si>
  <si>
    <r>
      <t>0.180</t>
    </r>
    <r>
      <rPr>
        <b/>
        <sz val="12"/>
        <color indexed="53"/>
        <rFont val="Calibri"/>
        <family val="2"/>
      </rPr>
      <t>*</t>
    </r>
  </si>
  <si>
    <r>
      <t>0.060</t>
    </r>
    <r>
      <rPr>
        <b/>
        <sz val="12"/>
        <color indexed="53"/>
        <rFont val="Calibri"/>
        <family val="2"/>
      </rPr>
      <t>*</t>
    </r>
  </si>
  <si>
    <r>
      <rPr>
        <b/>
        <sz val="12"/>
        <color indexed="10"/>
        <rFont val="Calibri"/>
        <family val="2"/>
      </rPr>
      <t>*</t>
    </r>
    <r>
      <rPr>
        <sz val="12"/>
        <color theme="1"/>
        <rFont val="Calibri"/>
        <family val="2"/>
        <scheme val="minor"/>
      </rPr>
      <t>Beca Lyttelton HVAC Options Report, 2014</t>
    </r>
  </si>
  <si>
    <r>
      <rPr>
        <sz val="12"/>
        <color indexed="13"/>
        <rFont val="Calibri"/>
        <family val="2"/>
      </rPr>
      <t>*</t>
    </r>
    <r>
      <rPr>
        <sz val="12"/>
        <color theme="1"/>
        <rFont val="Calibri"/>
        <family val="2"/>
        <scheme val="minor"/>
      </rPr>
      <t>Stephenson &amp; Turner Marshland School Report, 2014</t>
    </r>
  </si>
  <si>
    <r>
      <rPr>
        <b/>
        <sz val="12"/>
        <color indexed="22"/>
        <rFont val="Calibri"/>
        <family val="2"/>
      </rPr>
      <t>*</t>
    </r>
    <r>
      <rPr>
        <sz val="12"/>
        <color theme="1"/>
        <rFont val="Calibri"/>
        <family val="2"/>
        <scheme val="minor"/>
      </rPr>
      <t>DRP Comments for Hornby South, 2016</t>
    </r>
  </si>
  <si>
    <r>
      <rPr>
        <sz val="12"/>
        <color indexed="49"/>
        <rFont val="Calibri"/>
        <family val="2"/>
      </rPr>
      <t>*</t>
    </r>
    <r>
      <rPr>
        <sz val="12"/>
        <color theme="1"/>
        <rFont val="Calibri"/>
        <family val="2"/>
        <scheme val="minor"/>
      </rPr>
      <t>Opus South Hornby Report, 2015</t>
    </r>
  </si>
  <si>
    <t>LPG</t>
  </si>
  <si>
    <r>
      <t>0.095</t>
    </r>
    <r>
      <rPr>
        <b/>
        <sz val="12"/>
        <color indexed="49"/>
        <rFont val="Calibri"/>
        <family val="2"/>
      </rPr>
      <t>*</t>
    </r>
  </si>
  <si>
    <r>
      <rPr>
        <sz val="12"/>
        <color indexed="48"/>
        <rFont val="Calibri"/>
        <family val="2"/>
      </rPr>
      <t>*</t>
    </r>
    <r>
      <rPr>
        <sz val="12"/>
        <color theme="1"/>
        <rFont val="Calibri"/>
        <family val="2"/>
        <scheme val="minor"/>
      </rPr>
      <t>Aircomm Southland Schools Report, 2014</t>
    </r>
  </si>
  <si>
    <t>0.144*</t>
  </si>
  <si>
    <t>0.075*</t>
  </si>
  <si>
    <t>*Beca Rawhiti Primary School Memo, 2014</t>
  </si>
  <si>
    <t>Energy Cost Estimates Reported for Specific MoE Projects  (NZ$/kWh)</t>
  </si>
  <si>
    <r>
      <rPr>
        <b/>
        <sz val="12"/>
        <color indexed="10"/>
        <rFont val="Calibri"/>
        <family val="2"/>
      </rPr>
      <t>*</t>
    </r>
    <r>
      <rPr>
        <sz val="12"/>
        <color theme="1"/>
        <rFont val="Calibri"/>
        <family val="2"/>
        <scheme val="minor"/>
      </rPr>
      <t xml:space="preserve"> Source: http://www.woodenergysouth.co.nz/what-is-wood-energy/ &amp; other sources</t>
    </r>
  </si>
  <si>
    <t>Fuel Cost Escalation</t>
  </si>
  <si>
    <t>Wood Boilers</t>
  </si>
  <si>
    <t>Air-Source Heat Pumps</t>
  </si>
  <si>
    <t>Ground-Source Heat Pumps</t>
  </si>
  <si>
    <t>Ground-source heat pump compressors</t>
  </si>
  <si>
    <t>Air-source heat pump compressors</t>
  </si>
  <si>
    <t>VAV/re-heat boxes</t>
  </si>
  <si>
    <t>2e</t>
  </si>
  <si>
    <t>2c</t>
  </si>
  <si>
    <t>2d</t>
  </si>
  <si>
    <t>2f</t>
  </si>
  <si>
    <t>6e</t>
  </si>
  <si>
    <t>6b</t>
  </si>
  <si>
    <t>6c</t>
  </si>
  <si>
    <t>6d</t>
  </si>
  <si>
    <t>6f</t>
  </si>
  <si>
    <t>8e; 8d</t>
  </si>
  <si>
    <t>8e; 8f; 8a</t>
  </si>
  <si>
    <t>9e; 9d</t>
  </si>
  <si>
    <t>10e; 10d</t>
  </si>
  <si>
    <t>12e; 12d</t>
  </si>
  <si>
    <r>
      <t>Replacement Costs (NZ$/m</t>
    </r>
    <r>
      <rPr>
        <b/>
        <vertAlign val="superscript"/>
        <sz val="12"/>
        <rFont val="Calibri"/>
        <family val="2"/>
      </rPr>
      <t>2</t>
    </r>
    <r>
      <rPr>
        <b/>
        <sz val="12"/>
        <rFont val="Calibri"/>
      </rPr>
      <t>)</t>
    </r>
  </si>
  <si>
    <t>Replacement Ref.</t>
  </si>
  <si>
    <t>15e; 15d</t>
  </si>
  <si>
    <t>0.260*</t>
  </si>
  <si>
    <t>0.050*</t>
  </si>
  <si>
    <t>*Aurecon, Hornby High School Report 2016</t>
  </si>
  <si>
    <t>Replacemement Fraction of Total Capital Cost</t>
  </si>
  <si>
    <t>Project Name</t>
  </si>
  <si>
    <t>Project Region</t>
  </si>
  <si>
    <t>Project Location</t>
  </si>
  <si>
    <r>
      <t xml:space="preserve">Individual split AC units - </t>
    </r>
    <r>
      <rPr>
        <b/>
        <sz val="12"/>
        <color indexed="53"/>
        <rFont val="Calibri"/>
        <family val="2"/>
      </rPr>
      <t>HEATING MODE</t>
    </r>
    <r>
      <rPr>
        <b/>
        <sz val="12"/>
        <color indexed="8"/>
        <rFont val="Calibri"/>
        <family val="2"/>
      </rPr>
      <t xml:space="preserve"> </t>
    </r>
  </si>
  <si>
    <r>
      <t xml:space="preserve">Individual split AC units - </t>
    </r>
    <r>
      <rPr>
        <b/>
        <sz val="12"/>
        <color indexed="48"/>
        <rFont val="Calibri"/>
        <family val="2"/>
      </rPr>
      <t>COOLING MODE</t>
    </r>
  </si>
  <si>
    <r>
      <t xml:space="preserve">VRF multi-split - </t>
    </r>
    <r>
      <rPr>
        <b/>
        <sz val="12"/>
        <color indexed="53"/>
        <rFont val="Calibri"/>
        <family val="2"/>
      </rPr>
      <t>HEATING MODE</t>
    </r>
    <r>
      <rPr>
        <b/>
        <sz val="12"/>
        <color indexed="8"/>
        <rFont val="Calibri"/>
        <family val="2"/>
      </rPr>
      <t xml:space="preserve"> </t>
    </r>
  </si>
  <si>
    <r>
      <t xml:space="preserve">VRF multi-split  - </t>
    </r>
    <r>
      <rPr>
        <b/>
        <sz val="12"/>
        <color indexed="48"/>
        <rFont val="Calibri"/>
        <family val="2"/>
      </rPr>
      <t>COOLING MODE</t>
    </r>
  </si>
  <si>
    <t>VRF multi split units</t>
  </si>
  <si>
    <r>
      <t>NPV (NZ$/m</t>
    </r>
    <r>
      <rPr>
        <b/>
        <vertAlign val="superscript"/>
        <sz val="14"/>
        <color indexed="8"/>
        <rFont val="Calibri"/>
        <family val="2"/>
      </rPr>
      <t>2</t>
    </r>
    <r>
      <rPr>
        <b/>
        <sz val="14"/>
        <color indexed="8"/>
        <rFont val="Calibri"/>
        <family val="2"/>
      </rPr>
      <t>)</t>
    </r>
  </si>
  <si>
    <t>Underfloor heating; water piping &amp; insulation</t>
  </si>
  <si>
    <t>Low temp' radiators; water piping &amp; insulation</t>
  </si>
  <si>
    <t>Ductwork, grilles, diffusers &amp; dampers</t>
  </si>
  <si>
    <r>
      <t>Electricity Average Retail Charge (NZ$/kWh)</t>
    </r>
    <r>
      <rPr>
        <b/>
        <sz val="12"/>
        <color indexed="10"/>
        <rFont val="Calibri"/>
        <family val="2"/>
      </rPr>
      <t>*</t>
    </r>
  </si>
  <si>
    <t>Regional Electricity Variable Unit Cost Estimates</t>
  </si>
  <si>
    <t>Regional Energy Requirements</t>
  </si>
  <si>
    <t>NPV (NZ$)</t>
  </si>
  <si>
    <r>
      <t>NPV Capital Costs (NZ$/m</t>
    </r>
    <r>
      <rPr>
        <b/>
        <vertAlign val="superscript"/>
        <sz val="14"/>
        <color indexed="8"/>
        <rFont val="Calibri"/>
        <family val="2"/>
      </rPr>
      <t>2</t>
    </r>
    <r>
      <rPr>
        <b/>
        <sz val="14"/>
        <color indexed="8"/>
        <rFont val="Calibri"/>
        <family val="2"/>
      </rPr>
      <t>)</t>
    </r>
  </si>
  <si>
    <t>NPV Capital Costs (NZ$)</t>
  </si>
  <si>
    <r>
      <t xml:space="preserve">NPV </t>
    </r>
    <r>
      <rPr>
        <b/>
        <sz val="11"/>
        <color indexed="8"/>
        <rFont val="Calibri"/>
        <family val="2"/>
      </rPr>
      <t>Maintenance</t>
    </r>
    <r>
      <rPr>
        <b/>
        <sz val="12"/>
        <color indexed="8"/>
        <rFont val="Calibri"/>
        <family val="2"/>
      </rPr>
      <t xml:space="preserve"> Costs (NZ$/m</t>
    </r>
    <r>
      <rPr>
        <b/>
        <vertAlign val="superscript"/>
        <sz val="12"/>
        <color indexed="8"/>
        <rFont val="Calibri"/>
        <family val="2"/>
      </rPr>
      <t>2</t>
    </r>
    <r>
      <rPr>
        <b/>
        <sz val="12"/>
        <color indexed="8"/>
        <rFont val="Calibri"/>
        <family val="2"/>
      </rPr>
      <t>)</t>
    </r>
  </si>
  <si>
    <r>
      <t xml:space="preserve">NPV </t>
    </r>
    <r>
      <rPr>
        <b/>
        <sz val="11"/>
        <color indexed="8"/>
        <rFont val="Calibri"/>
        <family val="2"/>
      </rPr>
      <t>Maintenance</t>
    </r>
    <r>
      <rPr>
        <b/>
        <sz val="12"/>
        <color indexed="8"/>
        <rFont val="Calibri"/>
        <family val="2"/>
      </rPr>
      <t xml:space="preserve"> Costs (NZ$)</t>
    </r>
  </si>
  <si>
    <r>
      <t>NPV Fuel Costs (NZ$/m</t>
    </r>
    <r>
      <rPr>
        <b/>
        <vertAlign val="superscript"/>
        <sz val="14"/>
        <color indexed="8"/>
        <rFont val="Calibri"/>
        <family val="2"/>
      </rPr>
      <t>2</t>
    </r>
    <r>
      <rPr>
        <b/>
        <sz val="14"/>
        <color indexed="8"/>
        <rFont val="Calibri"/>
        <family val="2"/>
      </rPr>
      <t>)</t>
    </r>
  </si>
  <si>
    <r>
      <t>NPV (NZ$/m</t>
    </r>
    <r>
      <rPr>
        <b/>
        <vertAlign val="superscript"/>
        <sz val="12"/>
        <color indexed="8"/>
        <rFont val="Calibri"/>
        <family val="2"/>
      </rPr>
      <t>2</t>
    </r>
    <r>
      <rPr>
        <b/>
        <sz val="12"/>
        <color indexed="8"/>
        <rFont val="Calibri"/>
        <family val="2"/>
      </rPr>
      <t>)</t>
    </r>
  </si>
  <si>
    <r>
      <t>NPV Capital Costs (NZ$/m</t>
    </r>
    <r>
      <rPr>
        <b/>
        <vertAlign val="superscript"/>
        <sz val="12"/>
        <color indexed="8"/>
        <rFont val="Calibri"/>
        <family val="2"/>
      </rPr>
      <t>2</t>
    </r>
    <r>
      <rPr>
        <b/>
        <sz val="12"/>
        <color indexed="8"/>
        <rFont val="Calibri"/>
        <family val="2"/>
      </rPr>
      <t>)</t>
    </r>
  </si>
  <si>
    <r>
      <t>NPV Fuel Costs (NZ$/m</t>
    </r>
    <r>
      <rPr>
        <b/>
        <vertAlign val="superscript"/>
        <sz val="12"/>
        <color indexed="8"/>
        <rFont val="Calibri"/>
        <family val="2"/>
      </rPr>
      <t>2</t>
    </r>
    <r>
      <rPr>
        <b/>
        <sz val="12"/>
        <color indexed="8"/>
        <rFont val="Calibri"/>
        <family val="2"/>
      </rPr>
      <t>)</t>
    </r>
  </si>
  <si>
    <r>
      <t xml:space="preserve">NPV </t>
    </r>
    <r>
      <rPr>
        <b/>
        <sz val="9.5"/>
        <color indexed="8"/>
        <rFont val="Calibri"/>
        <family val="2"/>
      </rPr>
      <t>Maintenance</t>
    </r>
    <r>
      <rPr>
        <b/>
        <sz val="12"/>
        <color indexed="8"/>
        <rFont val="Calibri"/>
        <family val="2"/>
      </rPr>
      <t xml:space="preserve"> Costs (NZ$/m</t>
    </r>
    <r>
      <rPr>
        <b/>
        <vertAlign val="superscript"/>
        <sz val="12"/>
        <color indexed="8"/>
        <rFont val="Calibri"/>
        <family val="2"/>
      </rPr>
      <t>2</t>
    </r>
    <r>
      <rPr>
        <b/>
        <sz val="12"/>
        <color indexed="8"/>
        <rFont val="Calibri"/>
        <family val="2"/>
      </rPr>
      <t>)</t>
    </r>
  </si>
  <si>
    <r>
      <t xml:space="preserve">NPV </t>
    </r>
    <r>
      <rPr>
        <b/>
        <sz val="9.5"/>
        <color indexed="8"/>
        <rFont val="Calibri"/>
        <family val="2"/>
      </rPr>
      <t>Maintenance</t>
    </r>
    <r>
      <rPr>
        <b/>
        <sz val="12"/>
        <color indexed="8"/>
        <rFont val="Calibri"/>
        <family val="2"/>
      </rPr>
      <t xml:space="preserve"> Costs (NZ$)</t>
    </r>
  </si>
  <si>
    <r>
      <t>NPV Residual Value (NZ$/m</t>
    </r>
    <r>
      <rPr>
        <b/>
        <vertAlign val="superscript"/>
        <sz val="12"/>
        <color indexed="8"/>
        <rFont val="Calibri"/>
        <family val="2"/>
      </rPr>
      <t>2</t>
    </r>
    <r>
      <rPr>
        <b/>
        <sz val="12"/>
        <color indexed="8"/>
        <rFont val="Calibri"/>
        <family val="2"/>
      </rPr>
      <t>)</t>
    </r>
  </si>
  <si>
    <t>NPV Residual Value NZ$</t>
  </si>
  <si>
    <t>Heating &amp; Cooling</t>
  </si>
  <si>
    <r>
      <t>NPV Capital Costs (NZ$/m</t>
    </r>
    <r>
      <rPr>
        <b/>
        <vertAlign val="superscript"/>
        <sz val="14"/>
        <color indexed="8"/>
        <rFont val="Calibri"/>
        <family val="2"/>
      </rPr>
      <t>2</t>
    </r>
    <r>
      <rPr>
        <b/>
        <sz val="14"/>
        <color indexed="8"/>
        <rFont val="Calibri"/>
        <family val="2"/>
      </rPr>
      <t>)</t>
    </r>
  </si>
  <si>
    <r>
      <t>NPV Fuel Costs (NZ$/m</t>
    </r>
    <r>
      <rPr>
        <b/>
        <vertAlign val="superscript"/>
        <sz val="14"/>
        <color indexed="8"/>
        <rFont val="Calibri"/>
        <family val="2"/>
      </rPr>
      <t>2</t>
    </r>
    <r>
      <rPr>
        <b/>
        <sz val="14"/>
        <color indexed="8"/>
        <rFont val="Calibri"/>
        <family val="2"/>
      </rPr>
      <t>)</t>
    </r>
  </si>
  <si>
    <r>
      <t>NPV (NZ$/m</t>
    </r>
    <r>
      <rPr>
        <b/>
        <vertAlign val="superscript"/>
        <sz val="14"/>
        <color indexed="8"/>
        <rFont val="Calibri"/>
        <family val="2"/>
      </rPr>
      <t>2</t>
    </r>
    <r>
      <rPr>
        <b/>
        <sz val="14"/>
        <color indexed="8"/>
        <rFont val="Calibri"/>
        <family val="2"/>
      </rPr>
      <t>)</t>
    </r>
  </si>
  <si>
    <t>0.11*</t>
  </si>
  <si>
    <r>
      <t>NPV Maintenance Costs (NZ$/m</t>
    </r>
    <r>
      <rPr>
        <b/>
        <vertAlign val="superscript"/>
        <sz val="12"/>
        <color indexed="8"/>
        <rFont val="Calibri"/>
        <family val="2"/>
      </rPr>
      <t>2</t>
    </r>
    <r>
      <rPr>
        <b/>
        <sz val="12"/>
        <color indexed="8"/>
        <rFont val="Calibri"/>
        <family val="2"/>
      </rPr>
      <t>)</t>
    </r>
  </si>
  <si>
    <t>NPV Rank</t>
  </si>
  <si>
    <t>Year Analysis Period</t>
  </si>
  <si>
    <r>
      <rPr>
        <b/>
        <sz val="12"/>
        <color indexed="10"/>
        <rFont val="Calibri"/>
        <family val="2"/>
      </rPr>
      <t>Note:</t>
    </r>
    <r>
      <rPr>
        <b/>
        <sz val="12"/>
        <color indexed="8"/>
        <rFont val="Calibri"/>
        <family val="2"/>
      </rPr>
      <t xml:space="preserve"> Do not alter the contents of any cells in Column A of this sheet.</t>
    </r>
  </si>
  <si>
    <t>Analysis Period</t>
  </si>
  <si>
    <r>
      <t>Capital Cost (NZ$/m</t>
    </r>
    <r>
      <rPr>
        <b/>
        <vertAlign val="superscript"/>
        <sz val="12"/>
        <color indexed="8"/>
        <rFont val="Calibri"/>
        <family val="2"/>
      </rPr>
      <t>2</t>
    </r>
    <r>
      <rPr>
        <b/>
        <sz val="12"/>
        <color indexed="8"/>
        <rFont val="Calibri"/>
        <family val="2"/>
      </rPr>
      <t>) nett RUF</t>
    </r>
  </si>
  <si>
    <r>
      <rPr>
        <b/>
        <sz val="12"/>
        <color indexed="10"/>
        <rFont val="Calibri"/>
        <family val="2"/>
      </rPr>
      <t>Note</t>
    </r>
    <r>
      <rPr>
        <b/>
        <sz val="12"/>
        <color indexed="8"/>
        <rFont val="Calibri"/>
        <family val="2"/>
      </rPr>
      <t xml:space="preserve">: </t>
    </r>
    <r>
      <rPr>
        <b/>
        <sz val="12"/>
        <color indexed="8"/>
        <rFont val="Calibri"/>
        <family val="2"/>
      </rPr>
      <t>D</t>
    </r>
    <r>
      <rPr>
        <b/>
        <sz val="12"/>
        <color indexed="8"/>
        <rFont val="Calibri"/>
        <family val="2"/>
      </rPr>
      <t>o</t>
    </r>
    <r>
      <rPr>
        <b/>
        <sz val="12"/>
        <color indexed="8"/>
        <rFont val="Calibri"/>
        <family val="2"/>
      </rPr>
      <t xml:space="preserve"> not</t>
    </r>
    <r>
      <rPr>
        <b/>
        <sz val="12"/>
        <color indexed="8"/>
        <rFont val="Calibri"/>
        <family val="2"/>
      </rPr>
      <t xml:space="preserve"> change </t>
    </r>
    <r>
      <rPr>
        <b/>
        <sz val="12"/>
        <color indexed="8"/>
        <rFont val="Calibri"/>
        <family val="2"/>
      </rPr>
      <t>any inputs</t>
    </r>
    <r>
      <rPr>
        <b/>
        <sz val="12"/>
        <color indexed="8"/>
        <rFont val="Calibri"/>
        <family val="2"/>
      </rPr>
      <t xml:space="preserve"> </t>
    </r>
    <r>
      <rPr>
        <b/>
        <sz val="12"/>
        <color indexed="8"/>
        <rFont val="Calibri"/>
        <family val="2"/>
      </rPr>
      <t>using this sheet; instead please use the 'Inputs' sheet</t>
    </r>
    <r>
      <rPr>
        <b/>
        <sz val="12"/>
        <color indexed="8"/>
        <rFont val="Calibri"/>
        <family val="2"/>
      </rPr>
      <t>.</t>
    </r>
  </si>
  <si>
    <r>
      <t>Wood Chip</t>
    </r>
    <r>
      <rPr>
        <b/>
        <sz val="12"/>
        <color indexed="17"/>
        <rFont val="Calibri"/>
      </rPr>
      <t>*</t>
    </r>
  </si>
  <si>
    <r>
      <t>Wood Pellet</t>
    </r>
    <r>
      <rPr>
        <b/>
        <sz val="12"/>
        <color indexed="53"/>
        <rFont val="Calibri"/>
        <family val="2"/>
      </rPr>
      <t>*</t>
    </r>
  </si>
  <si>
    <t>1. Central Wood Boiler w/ underfloor heating</t>
  </si>
  <si>
    <t>2. Central Wood Boiler w/ radiators</t>
  </si>
  <si>
    <t>3. Central Wood Boiler w/ fan coils</t>
  </si>
  <si>
    <t>4. Air-Source Heat Pump w/ underfloor heating</t>
  </si>
  <si>
    <t>5. Air-Source Heat Pump w/ radiators</t>
  </si>
  <si>
    <t>6. Air-Source Heat Pump w/ fan coils</t>
  </si>
  <si>
    <t>7. Individual Split A/C Units</t>
  </si>
  <si>
    <t>8. Ground-Source Heat Pump w/ underfloor heating</t>
  </si>
  <si>
    <t>9. Ground-Source Heat Pump w/ radiators</t>
  </si>
  <si>
    <t>11. Packaged Ducted A/C Units</t>
  </si>
  <si>
    <t>14. Electric Radiant Heaters</t>
  </si>
  <si>
    <t>7. Individual Split Units</t>
  </si>
  <si>
    <t>12. VRF Multi Split System</t>
  </si>
  <si>
    <t>13. Hybrid VRF Multi Split System</t>
  </si>
  <si>
    <t>A/C Systems</t>
  </si>
  <si>
    <t>1. Central Wood Boiler w/ Underfloor Heating</t>
  </si>
  <si>
    <t>2. Central Wood Boiler w/ Radiators</t>
  </si>
  <si>
    <t>3. Central Wood Boiler w/ Fan Coils</t>
  </si>
  <si>
    <t>4. Air-Source Heat Pump w/ Underfloor Heating</t>
  </si>
  <si>
    <t>5. Air-Source Heat Pump w/ Radiators</t>
  </si>
  <si>
    <t>6. Air-Source Heat Pump w/ Fan Coils</t>
  </si>
  <si>
    <t>5. Air-Source Heat Pump w/ low temp' radiators</t>
  </si>
  <si>
    <t>8. Ground-Source Heat Pump w/ Underfloor Heating</t>
  </si>
  <si>
    <t>9. Ground-Source Heat Pump w/ Radiators</t>
  </si>
  <si>
    <t>10. Ground-Source Heat Pump w/ Fan Coils</t>
  </si>
  <si>
    <t>1. Central Wood Chip Boiler &amp; Underfloor Heating - NON-CONDENSING</t>
  </si>
  <si>
    <t>2. Central Wood Chip Boiler &amp; Low Temp' Radiators - NON-CONDENSING</t>
  </si>
  <si>
    <t>3. Central Wood Chip Boiler &amp; 2-Pipe Fan Coils - NON-CONDENSING</t>
  </si>
  <si>
    <t>4. Air Source Hydronic Heat Pump &amp; Underfloor Heating</t>
  </si>
  <si>
    <t>5. Air Source Hydronic Heat Pump &amp; Low Temp' Radiators</t>
  </si>
  <si>
    <t>6. Air Source Hydronic Heat Pump &amp; Fan Coil Units</t>
  </si>
  <si>
    <t>7. Individual Split AC Units</t>
  </si>
  <si>
    <t>8. Ground Source Hydronic Heat Pump &amp; Underfloor Heating</t>
  </si>
  <si>
    <t>9. Ground Source Hydronic Heat Pump &amp; Low Temp' Radiators</t>
  </si>
  <si>
    <t>10. Ground Source Hydronic Heat Pump &amp; Fan Coil Units</t>
  </si>
  <si>
    <t>11. Rooftop Packaged Units &amp; Ducted Air System</t>
  </si>
  <si>
    <t>12. VRF Multi-Split System</t>
  </si>
  <si>
    <t>14. Electric Radiant Heating</t>
  </si>
  <si>
    <t>13. Hybrid VRF Multi-Split System</t>
  </si>
  <si>
    <t>Hybrid VRF units</t>
  </si>
  <si>
    <t>Individual Split AC units</t>
  </si>
  <si>
    <t>13.</t>
  </si>
  <si>
    <t>11d; 11c</t>
  </si>
  <si>
    <t>11d; 11a</t>
  </si>
  <si>
    <t>11d; 11e; 11c</t>
  </si>
  <si>
    <t>10e; 10f; 10a; 10b</t>
  </si>
  <si>
    <t>9e; 9f; 9a</t>
  </si>
  <si>
    <t>7.</t>
  </si>
  <si>
    <t>6e; 6d</t>
  </si>
  <si>
    <t>6e; 6f; 6a; 6b</t>
  </si>
  <si>
    <t>5e; 5d</t>
  </si>
  <si>
    <t>5e; 5f; 5a</t>
  </si>
  <si>
    <t>4e; 4d</t>
  </si>
  <si>
    <t>4e; 4f; 4a</t>
  </si>
  <si>
    <t>3e; 3d</t>
  </si>
  <si>
    <t>3e; 3f; 3a; 3b</t>
  </si>
  <si>
    <t>2e; 2d</t>
  </si>
  <si>
    <t>2e; 2f; 2a</t>
  </si>
  <si>
    <t>1e; 1d</t>
  </si>
  <si>
    <t>1e; 1f; 1a</t>
  </si>
  <si>
    <r>
      <rPr>
        <b/>
        <sz val="14"/>
        <color indexed="48"/>
        <rFont val="Calibri"/>
        <family val="2"/>
      </rPr>
      <t>*</t>
    </r>
    <r>
      <rPr>
        <b/>
        <sz val="12"/>
        <color indexed="8"/>
        <rFont val="Calibri"/>
        <family val="2"/>
      </rPr>
      <t>Based on a</t>
    </r>
    <r>
      <rPr>
        <b/>
        <sz val="12"/>
        <color indexed="8"/>
        <rFont val="Calibri"/>
        <family val="2"/>
      </rPr>
      <t xml:space="preserve"> commercial discount</t>
    </r>
    <r>
      <rPr>
        <b/>
        <sz val="12"/>
        <color indexed="8"/>
        <rFont val="Calibri"/>
        <family val="2"/>
      </rPr>
      <t xml:space="preserve"> factor of 0.</t>
    </r>
    <r>
      <rPr>
        <b/>
        <sz val="12"/>
        <color indexed="8"/>
        <rFont val="Calibri"/>
        <family val="2"/>
      </rPr>
      <t>6</t>
    </r>
    <r>
      <rPr>
        <b/>
        <sz val="12"/>
        <color indexed="8"/>
        <rFont val="Calibri"/>
        <family val="2"/>
      </rPr>
      <t xml:space="preserve"> x Re</t>
    </r>
    <r>
      <rPr>
        <b/>
        <sz val="12"/>
        <color indexed="8"/>
        <rFont val="Calibri"/>
        <family val="2"/>
      </rPr>
      <t>siden</t>
    </r>
    <r>
      <rPr>
        <b/>
        <sz val="12"/>
        <color indexed="8"/>
        <rFont val="Calibri"/>
        <family val="2"/>
      </rPr>
      <t>ti</t>
    </r>
    <r>
      <rPr>
        <b/>
        <sz val="12"/>
        <color indexed="8"/>
        <rFont val="Calibri"/>
        <family val="2"/>
      </rPr>
      <t>a</t>
    </r>
    <r>
      <rPr>
        <b/>
        <sz val="12"/>
        <color indexed="8"/>
        <rFont val="Calibri"/>
        <family val="2"/>
      </rPr>
      <t>l Price, being the 10 year average spread 20</t>
    </r>
    <r>
      <rPr>
        <b/>
        <sz val="12"/>
        <color indexed="8"/>
        <rFont val="Calibri"/>
        <family val="2"/>
      </rPr>
      <t>11</t>
    </r>
    <r>
      <rPr>
        <b/>
        <sz val="12"/>
        <color indexed="8"/>
        <rFont val="Calibri"/>
        <family val="2"/>
      </rPr>
      <t>-202</t>
    </r>
    <r>
      <rPr>
        <b/>
        <sz val="12"/>
        <color indexed="8"/>
        <rFont val="Calibri"/>
        <family val="2"/>
      </rPr>
      <t>0</t>
    </r>
    <r>
      <rPr>
        <b/>
        <sz val="12"/>
        <color indexed="8"/>
        <rFont val="Calibri"/>
        <family val="2"/>
      </rPr>
      <t>, MBIE data.</t>
    </r>
  </si>
  <si>
    <r>
      <rPr>
        <b/>
        <sz val="14"/>
        <color indexed="10"/>
        <rFont val="Calibri"/>
        <family val="2"/>
      </rPr>
      <t>*</t>
    </r>
    <r>
      <rPr>
        <b/>
        <sz val="12"/>
        <color indexed="8"/>
        <rFont val="Calibri"/>
        <family val="2"/>
      </rPr>
      <t>MBIE Quarterly Survey of Domestic Electricity Prices Report, 20</t>
    </r>
    <r>
      <rPr>
        <b/>
        <sz val="12"/>
        <color indexed="8"/>
        <rFont val="Calibri"/>
        <family val="2"/>
      </rPr>
      <t>21</t>
    </r>
  </si>
  <si>
    <t>Pukekohe</t>
  </si>
  <si>
    <t>Climate Zone</t>
  </si>
  <si>
    <t>Kerikeri</t>
  </si>
  <si>
    <t>Climate_Zone_1</t>
  </si>
  <si>
    <t>Climate_Zone_2</t>
  </si>
  <si>
    <t>Cambridge</t>
  </si>
  <si>
    <t>Otorohanga</t>
  </si>
  <si>
    <t>Waipukurau</t>
  </si>
  <si>
    <t>Climate_Zone_3</t>
  </si>
  <si>
    <t>Dannevirke</t>
  </si>
  <si>
    <t>Kapiti</t>
  </si>
  <si>
    <t>Marlborough - Blenheim</t>
  </si>
  <si>
    <t>Climate_Zone_4</t>
  </si>
  <si>
    <t>Climate_Zone_5</t>
  </si>
  <si>
    <t>Climate_Zone_6</t>
  </si>
  <si>
    <t>Auckland_North_Shore</t>
  </si>
  <si>
    <t>Auckland_Central</t>
  </si>
  <si>
    <t>Palmerston_North</t>
  </si>
  <si>
    <t>Climate_Zones</t>
  </si>
  <si>
    <t>Towns</t>
  </si>
  <si>
    <r>
      <t xml:space="preserve">Estimated Commercial Unit Charge, based on MBIE residential rates incl. lines charges, with a commercial discount factor of 0.6 - see </t>
    </r>
    <r>
      <rPr>
        <b/>
        <sz val="12"/>
        <color indexed="8"/>
        <rFont val="Calibri"/>
        <family val="2"/>
      </rPr>
      <t>Regional Variable Electricity Cost Estimate</t>
    </r>
    <r>
      <rPr>
        <sz val="12"/>
        <color theme="1"/>
        <rFont val="Calibri"/>
        <family val="2"/>
        <scheme val="minor"/>
      </rPr>
      <t xml:space="preserve"> table, below.</t>
    </r>
  </si>
  <si>
    <t>Electricity (Commercial)</t>
  </si>
  <si>
    <r>
      <rPr>
        <b/>
        <sz val="14"/>
        <color indexed="10"/>
        <rFont val="Calibri"/>
        <family val="2"/>
      </rPr>
      <t>*</t>
    </r>
    <r>
      <rPr>
        <b/>
        <sz val="12"/>
        <color indexed="8"/>
        <rFont val="Calibri"/>
        <family val="2"/>
      </rPr>
      <t>Derived from MBIE Energy Price data, years 2001-20</t>
    </r>
    <r>
      <rPr>
        <b/>
        <sz val="12"/>
        <color indexed="8"/>
        <rFont val="Calibri"/>
        <family val="2"/>
      </rPr>
      <t>20</t>
    </r>
  </si>
  <si>
    <t>12.</t>
  </si>
  <si>
    <t>14.</t>
  </si>
  <si>
    <t>Fixed site specific infrastructure cost (NZ$)</t>
  </si>
  <si>
    <t>Component Replacement Cost                  (%)</t>
  </si>
  <si>
    <t>Cooling Required?</t>
  </si>
  <si>
    <r>
      <t>Heating Load kWh/m</t>
    </r>
    <r>
      <rPr>
        <b/>
        <vertAlign val="superscript"/>
        <sz val="12"/>
        <color indexed="8"/>
        <rFont val="Calibri"/>
        <family val="2"/>
      </rPr>
      <t>2</t>
    </r>
  </si>
  <si>
    <r>
      <t>Cooling Load kWh/m</t>
    </r>
    <r>
      <rPr>
        <b/>
        <vertAlign val="superscript"/>
        <sz val="12"/>
        <color indexed="8"/>
        <rFont val="Calibri"/>
        <family val="2"/>
      </rPr>
      <t>2</t>
    </r>
  </si>
  <si>
    <r>
      <t>Total Load kWh/m</t>
    </r>
    <r>
      <rPr>
        <b/>
        <vertAlign val="superscript"/>
        <sz val="12"/>
        <color indexed="8"/>
        <rFont val="Calibri"/>
        <family val="2"/>
      </rPr>
      <t>2</t>
    </r>
  </si>
  <si>
    <r>
      <t>Heating Load  (kWh/m</t>
    </r>
    <r>
      <rPr>
        <b/>
        <vertAlign val="superscript"/>
        <sz val="12"/>
        <color indexed="8"/>
        <rFont val="Calibri"/>
        <family val="2"/>
      </rPr>
      <t>2</t>
    </r>
    <r>
      <rPr>
        <b/>
        <sz val="12"/>
        <color indexed="8"/>
        <rFont val="Calibri"/>
        <family val="2"/>
      </rPr>
      <t>/year)</t>
    </r>
  </si>
  <si>
    <r>
      <t>Heating Load (kWh/m</t>
    </r>
    <r>
      <rPr>
        <b/>
        <vertAlign val="superscript"/>
        <sz val="12"/>
        <color indexed="8"/>
        <rFont val="Calibri"/>
        <family val="2"/>
      </rPr>
      <t>2</t>
    </r>
    <r>
      <rPr>
        <b/>
        <sz val="12"/>
        <color indexed="8"/>
        <rFont val="Calibri"/>
        <family val="2"/>
      </rPr>
      <t>/year)</t>
    </r>
  </si>
  <si>
    <r>
      <t>Cooling Load (kWh/m</t>
    </r>
    <r>
      <rPr>
        <b/>
        <vertAlign val="superscript"/>
        <sz val="12"/>
        <color indexed="48"/>
        <rFont val="Calibri"/>
        <family val="2"/>
      </rPr>
      <t>2</t>
    </r>
    <r>
      <rPr>
        <b/>
        <sz val="12"/>
        <color indexed="48"/>
        <rFont val="Calibri"/>
        <family val="2"/>
      </rPr>
      <t>/year)</t>
    </r>
  </si>
  <si>
    <t>Specific Electricity Cost (NZ$/kWh)</t>
  </si>
  <si>
    <t>Default Wood Fuel Cost (NZ$/kWh)</t>
  </si>
  <si>
    <t>Specific Wood Fuel Cost (NZ$/kWh)</t>
  </si>
  <si>
    <r>
      <t>Project Floor Area (m</t>
    </r>
    <r>
      <rPr>
        <b/>
        <vertAlign val="superscript"/>
        <sz val="12"/>
        <color indexed="8"/>
        <rFont val="Arial"/>
      </rPr>
      <t>2</t>
    </r>
    <r>
      <rPr>
        <b/>
        <sz val="12"/>
        <color indexed="8"/>
        <rFont val="Arial"/>
        <family val="2"/>
      </rPr>
      <t>)</t>
    </r>
  </si>
  <si>
    <r>
      <t>Default Heating Load (kWh/m</t>
    </r>
    <r>
      <rPr>
        <b/>
        <vertAlign val="superscript"/>
        <sz val="12"/>
        <color indexed="8"/>
        <rFont val="Arial"/>
      </rPr>
      <t>2</t>
    </r>
    <r>
      <rPr>
        <b/>
        <sz val="12"/>
        <color indexed="8"/>
        <rFont val="Arial"/>
        <family val="2"/>
      </rPr>
      <t>/year)</t>
    </r>
  </si>
  <si>
    <r>
      <t>Specific Heating Load (kWh/m</t>
    </r>
    <r>
      <rPr>
        <b/>
        <vertAlign val="superscript"/>
        <sz val="12"/>
        <color indexed="8"/>
        <rFont val="Arial"/>
      </rPr>
      <t>2</t>
    </r>
    <r>
      <rPr>
        <b/>
        <sz val="12"/>
        <color indexed="8"/>
        <rFont val="Arial"/>
        <family val="2"/>
      </rPr>
      <t>/year)</t>
    </r>
  </si>
  <si>
    <r>
      <t>Default Cooling Load (kWh/m</t>
    </r>
    <r>
      <rPr>
        <b/>
        <vertAlign val="superscript"/>
        <sz val="12"/>
        <color indexed="8"/>
        <rFont val="Arial"/>
      </rPr>
      <t>2</t>
    </r>
    <r>
      <rPr>
        <b/>
        <sz val="12"/>
        <color indexed="8"/>
        <rFont val="Arial"/>
        <family val="2"/>
      </rPr>
      <t>/year)</t>
    </r>
  </si>
  <si>
    <r>
      <t>Specific Cooling Load (kWh/m</t>
    </r>
    <r>
      <rPr>
        <b/>
        <vertAlign val="superscript"/>
        <sz val="12"/>
        <color indexed="8"/>
        <rFont val="Arial"/>
      </rPr>
      <t>2</t>
    </r>
    <r>
      <rPr>
        <b/>
        <sz val="12"/>
        <color indexed="8"/>
        <rFont val="Arial"/>
        <family val="2"/>
      </rPr>
      <t>/year)</t>
    </r>
  </si>
  <si>
    <t>Default Electricity Cost (NZ$/kWh)</t>
  </si>
  <si>
    <r>
      <rPr>
        <b/>
        <sz val="12"/>
        <color indexed="8"/>
        <rFont val="Arial"/>
        <family val="2"/>
      </rPr>
      <t>Ground-Source Heat Pumps</t>
    </r>
  </si>
  <si>
    <r>
      <t xml:space="preserve">10. Ground-Source Heat Pump </t>
    </r>
    <r>
      <rPr>
        <b/>
        <sz val="11"/>
        <color indexed="8"/>
        <rFont val="Arial"/>
      </rPr>
      <t>w/ fan coil</t>
    </r>
  </si>
  <si>
    <r>
      <rPr>
        <b/>
        <sz val="12"/>
        <color indexed="8"/>
        <rFont val="Arial"/>
        <family val="2"/>
      </rPr>
      <t>Default Capital Cost (NZ$/m</t>
    </r>
    <r>
      <rPr>
        <b/>
        <vertAlign val="superscript"/>
        <sz val="12"/>
        <color indexed="8"/>
        <rFont val="Arial"/>
      </rPr>
      <t>2</t>
    </r>
    <r>
      <rPr>
        <b/>
        <sz val="12"/>
        <color indexed="8"/>
        <rFont val="Arial"/>
        <family val="2"/>
      </rPr>
      <t>)</t>
    </r>
  </si>
  <si>
    <r>
      <rPr>
        <b/>
        <sz val="12"/>
        <color indexed="8"/>
        <rFont val="Arial"/>
        <family val="2"/>
      </rPr>
      <t>Specific Capital Cost (NZ$/m</t>
    </r>
    <r>
      <rPr>
        <b/>
        <vertAlign val="superscript"/>
        <sz val="12"/>
        <color indexed="8"/>
        <rFont val="Arial"/>
      </rPr>
      <t>2</t>
    </r>
    <r>
      <rPr>
        <b/>
        <sz val="12"/>
        <color indexed="8"/>
        <rFont val="Arial"/>
        <family val="2"/>
      </rPr>
      <t>)</t>
    </r>
  </si>
  <si>
    <r>
      <rPr>
        <b/>
        <sz val="12"/>
        <color indexed="8"/>
        <rFont val="Arial"/>
        <family val="2"/>
      </rPr>
      <t>Default Heating Conversion Efficiency</t>
    </r>
    <r>
      <rPr>
        <b/>
        <sz val="10"/>
        <color indexed="8"/>
        <rFont val="Calibri"/>
        <family val="2"/>
      </rPr>
      <t/>
    </r>
  </si>
  <si>
    <r>
      <rPr>
        <b/>
        <sz val="12"/>
        <color indexed="8"/>
        <rFont val="Arial"/>
        <family val="2"/>
      </rPr>
      <t xml:space="preserve">Specific Heating Conversion Efficiency </t>
    </r>
    <r>
      <rPr>
        <b/>
        <sz val="10"/>
        <color indexed="8"/>
        <rFont val="Calibri"/>
        <family val="2"/>
      </rPr>
      <t/>
    </r>
  </si>
  <si>
    <r>
      <rPr>
        <b/>
        <sz val="12"/>
        <color indexed="8"/>
        <rFont val="Arial"/>
        <family val="2"/>
      </rPr>
      <t>Specific I</t>
    </r>
    <r>
      <rPr>
        <b/>
        <sz val="10"/>
        <color indexed="8"/>
        <rFont val="Arial"/>
      </rPr>
      <t>nfrastructure</t>
    </r>
    <r>
      <rPr>
        <b/>
        <sz val="12"/>
        <color indexed="8"/>
        <rFont val="Arial"/>
        <family val="2"/>
      </rPr>
      <t xml:space="preserve"> costs     (NZ$)</t>
    </r>
  </si>
  <si>
    <r>
      <rPr>
        <b/>
        <sz val="12"/>
        <color indexed="8"/>
        <rFont val="Arial"/>
        <family val="2"/>
      </rPr>
      <t xml:space="preserve">Specific Cooling Conversion Efficiency </t>
    </r>
    <r>
      <rPr>
        <b/>
        <sz val="10"/>
        <color indexed="8"/>
        <rFont val="Calibri"/>
        <family val="2"/>
      </rPr>
      <t/>
    </r>
  </si>
  <si>
    <t>N/A</t>
  </si>
  <si>
    <r>
      <t>11. Packaged Ducted A/C Units</t>
    </r>
    <r>
      <rPr>
        <b/>
        <sz val="16"/>
        <color indexed="11"/>
        <rFont val="Arial"/>
      </rPr>
      <t>*</t>
    </r>
  </si>
  <si>
    <r>
      <rPr>
        <b/>
        <sz val="12"/>
        <color indexed="8"/>
        <rFont val="Arial"/>
        <family val="2"/>
      </rPr>
      <t>Default Cooling Conversion Efficiency</t>
    </r>
    <r>
      <rPr>
        <b/>
        <sz val="10"/>
        <color indexed="8"/>
        <rFont val="Calibri"/>
        <family val="2"/>
      </rPr>
      <t/>
    </r>
  </si>
  <si>
    <r>
      <t>System    Re-Use Factor       (0 - 1)</t>
    </r>
    <r>
      <rPr>
        <b/>
        <vertAlign val="superscript"/>
        <sz val="16"/>
        <color indexed="11"/>
        <rFont val="Arial"/>
      </rPr>
      <t>#</t>
    </r>
  </si>
  <si>
    <r>
      <rPr>
        <b/>
        <sz val="12"/>
        <color indexed="10"/>
        <rFont val="Calibri"/>
        <family val="2"/>
      </rPr>
      <t xml:space="preserve">Note: </t>
    </r>
    <r>
      <rPr>
        <b/>
        <sz val="12"/>
        <rFont val="Calibri"/>
      </rPr>
      <t>Unlike electricity, wood fuel is by default not subject to a Fuel Cost Escalation Rate. Wood chip is the default fuel selected for wood-fired systems; pellet cost estimates are provided in the 'Regional Fuel Cost' sheet, although it is recommended that local suppliers be consulted regarding availability and costs.</t>
    </r>
  </si>
  <si>
    <r>
      <rPr>
        <b/>
        <sz val="11"/>
        <color indexed="8"/>
        <rFont val="Arial"/>
      </rPr>
      <t>Ground Source Heat Pumps</t>
    </r>
  </si>
  <si>
    <r>
      <t>NPV Maintenance Cost (NZ$/m</t>
    </r>
    <r>
      <rPr>
        <b/>
        <vertAlign val="superscript"/>
        <sz val="12"/>
        <color indexed="8"/>
        <rFont val="Arial"/>
      </rPr>
      <t>2</t>
    </r>
    <r>
      <rPr>
        <b/>
        <sz val="12"/>
        <color indexed="8"/>
        <rFont val="Arial"/>
        <family val="2"/>
      </rPr>
      <t>)</t>
    </r>
  </si>
  <si>
    <r>
      <t>NPV Fuel Cost (NZ$/m</t>
    </r>
    <r>
      <rPr>
        <b/>
        <vertAlign val="superscript"/>
        <sz val="12"/>
        <color indexed="8"/>
        <rFont val="Arial"/>
      </rPr>
      <t>2</t>
    </r>
    <r>
      <rPr>
        <b/>
        <sz val="12"/>
        <color indexed="8"/>
        <rFont val="Arial"/>
        <family val="2"/>
      </rPr>
      <t>)</t>
    </r>
  </si>
  <si>
    <r>
      <t>Total NPV (NZ$/m</t>
    </r>
    <r>
      <rPr>
        <b/>
        <vertAlign val="superscript"/>
        <sz val="12"/>
        <color indexed="8"/>
        <rFont val="Arial"/>
      </rPr>
      <t>2</t>
    </r>
    <r>
      <rPr>
        <b/>
        <sz val="12"/>
        <color indexed="8"/>
        <rFont val="Arial"/>
        <family val="2"/>
      </rPr>
      <t>)</t>
    </r>
  </si>
  <si>
    <r>
      <t>NPV Residual Value (NZ$/m</t>
    </r>
    <r>
      <rPr>
        <b/>
        <vertAlign val="superscript"/>
        <sz val="12"/>
        <color indexed="8"/>
        <rFont val="Arial"/>
      </rPr>
      <t>2</t>
    </r>
    <r>
      <rPr>
        <b/>
        <sz val="12"/>
        <color indexed="8"/>
        <rFont val="Arial"/>
        <family val="2"/>
      </rPr>
      <t>)</t>
    </r>
  </si>
  <si>
    <r>
      <rPr>
        <b/>
        <vertAlign val="superscript"/>
        <sz val="16"/>
        <color indexed="11"/>
        <rFont val="Arial"/>
      </rPr>
      <t>§</t>
    </r>
    <r>
      <rPr>
        <b/>
        <sz val="12"/>
        <color indexed="8"/>
        <rFont val="Arial"/>
        <family val="2"/>
      </rPr>
      <t xml:space="preserve"> Include any associated costs (e.g. electrical transformer up-grades, associated builder’s work, etc.) under ‘Fixed Site Specific Infrastructure Costs’. Do NOT adjust 'Specific Capital Cost' to include these associasted costs.</t>
    </r>
  </si>
  <si>
    <r>
      <rPr>
        <b/>
        <sz val="12"/>
        <color indexed="8"/>
        <rFont val="Arial"/>
        <family val="2"/>
      </rPr>
      <t>Specific I</t>
    </r>
    <r>
      <rPr>
        <b/>
        <sz val="10"/>
        <color indexed="8"/>
        <rFont val="Arial"/>
      </rPr>
      <t>nfrastructure</t>
    </r>
    <r>
      <rPr>
        <b/>
        <sz val="12"/>
        <color indexed="8"/>
        <rFont val="Arial"/>
        <family val="2"/>
      </rPr>
      <t xml:space="preserve"> costs     (NZ$)</t>
    </r>
    <r>
      <rPr>
        <b/>
        <vertAlign val="superscript"/>
        <sz val="16"/>
        <color indexed="11"/>
        <rFont val="Arial"/>
      </rPr>
      <t>§</t>
    </r>
  </si>
  <si>
    <r>
      <rPr>
        <b/>
        <vertAlign val="superscript"/>
        <sz val="16"/>
        <color indexed="11"/>
        <rFont val="Arial"/>
      </rPr>
      <t>#</t>
    </r>
    <r>
      <rPr>
        <b/>
        <sz val="12"/>
        <color indexed="8"/>
        <rFont val="Arial"/>
        <family val="2"/>
      </rPr>
      <t xml:space="preserve"> To adjust the capital cost/m</t>
    </r>
    <r>
      <rPr>
        <b/>
        <vertAlign val="superscript"/>
        <sz val="12"/>
        <color indexed="8"/>
        <rFont val="Arial"/>
      </rPr>
      <t>2</t>
    </r>
    <r>
      <rPr>
        <b/>
        <sz val="12"/>
        <color indexed="8"/>
        <rFont val="Arial"/>
        <family val="2"/>
      </rPr>
      <t xml:space="preserve"> of a particular system to reflect re-use of existing infrastructure, adjust the 'System Re-Use Factor'. A value of 0 (zero) corresponds to nil re-use; a value of 1 (one) corresponds to complete re-use of an existing system. The 'Re-Use Factor' does not affect replacement or maintenance costs. Do NOT adjust 'Specific Capital Cost' to account for system re-use - 'Specific Capital Cost' must reflect the full value of a new system.</t>
    </r>
  </si>
  <si>
    <r>
      <t>Initial Capital Cost Nett RUF (NZ$/m</t>
    </r>
    <r>
      <rPr>
        <b/>
        <vertAlign val="superscript"/>
        <sz val="12"/>
        <color indexed="8"/>
        <rFont val="Arial"/>
      </rPr>
      <t>2</t>
    </r>
    <r>
      <rPr>
        <b/>
        <sz val="12"/>
        <color indexed="8"/>
        <rFont val="Arial"/>
        <family val="2"/>
      </rPr>
      <t>)</t>
    </r>
  </si>
  <si>
    <r>
      <t>NPV    Capital Cost Nett RUF (NZ$/m</t>
    </r>
    <r>
      <rPr>
        <b/>
        <vertAlign val="superscript"/>
        <sz val="12"/>
        <color indexed="8"/>
        <rFont val="Arial"/>
      </rPr>
      <t>2</t>
    </r>
    <r>
      <rPr>
        <b/>
        <sz val="12"/>
        <color indexed="8"/>
        <rFont val="Arial"/>
        <family val="2"/>
      </rPr>
      <t>)</t>
    </r>
  </si>
  <si>
    <t>Total NPV Reference Values</t>
  </si>
  <si>
    <t>List</t>
  </si>
  <si>
    <t>Yes</t>
  </si>
  <si>
    <t>No</t>
  </si>
  <si>
    <r>
      <rPr>
        <b/>
        <sz val="12"/>
        <color indexed="8"/>
        <rFont val="Arial"/>
        <family val="2"/>
      </rPr>
      <t>Include in Analysis?</t>
    </r>
  </si>
  <si>
    <t>NPV Results Summary</t>
  </si>
  <si>
    <r>
      <rPr>
        <b/>
        <sz val="12"/>
        <color indexed="11"/>
        <rFont val="Arial"/>
      </rPr>
      <t>Note:</t>
    </r>
    <r>
      <rPr>
        <b/>
        <sz val="12"/>
        <color indexed="8"/>
        <rFont val="Arial"/>
        <family val="2"/>
      </rPr>
      <t xml:space="preserve"> Systems 4-13 are able to operate in both heating and cooling modes; if it is intended that these systems operate in heating mode only, set the value in cell C8 to 'No'; if it is intended that these systems operate in both heating and cooling modes, set the value to 'Yes'. Note that a 'Yes' value will eliminate heating-only systems from the analysis.</t>
    </r>
  </si>
  <si>
    <r>
      <rPr>
        <b/>
        <sz val="12"/>
        <color indexed="10"/>
        <rFont val="Calibri"/>
        <family val="2"/>
      </rPr>
      <t>Note:</t>
    </r>
    <r>
      <rPr>
        <b/>
        <sz val="12"/>
        <color indexed="8"/>
        <rFont val="Calibri"/>
        <family val="2"/>
      </rPr>
      <t xml:space="preserve"> Systems </t>
    </r>
    <r>
      <rPr>
        <b/>
        <sz val="12"/>
        <color indexed="8"/>
        <rFont val="Calibri"/>
        <family val="2"/>
      </rPr>
      <t>4</t>
    </r>
    <r>
      <rPr>
        <b/>
        <sz val="12"/>
        <color indexed="8"/>
        <rFont val="Calibri"/>
        <family val="2"/>
      </rPr>
      <t>-1</t>
    </r>
    <r>
      <rPr>
        <b/>
        <sz val="12"/>
        <color indexed="8"/>
        <rFont val="Calibri"/>
        <family val="2"/>
      </rPr>
      <t>3</t>
    </r>
    <r>
      <rPr>
        <b/>
        <sz val="12"/>
        <color indexed="8"/>
        <rFont val="Calibri"/>
        <family val="2"/>
      </rPr>
      <t xml:space="preserve"> are able to operate in both heating and cooling modes; if it is intended that these systems operate in heating mode only,</t>
    </r>
    <r>
      <rPr>
        <b/>
        <sz val="12"/>
        <color indexed="8"/>
        <rFont val="Calibri"/>
        <family val="2"/>
      </rPr>
      <t xml:space="preserve"> refer to the 'Inputs' sheet and</t>
    </r>
    <r>
      <rPr>
        <b/>
        <sz val="12"/>
        <color indexed="8"/>
        <rFont val="Calibri"/>
        <family val="2"/>
      </rPr>
      <t xml:space="preserve"> set the value </t>
    </r>
    <r>
      <rPr>
        <b/>
        <sz val="12"/>
        <color indexed="8"/>
        <rFont val="Calibri"/>
        <family val="2"/>
      </rPr>
      <t>of</t>
    </r>
    <r>
      <rPr>
        <b/>
        <sz val="12"/>
        <color indexed="8"/>
        <rFont val="Calibri"/>
        <family val="2"/>
      </rPr>
      <t xml:space="preserve"> </t>
    </r>
    <r>
      <rPr>
        <b/>
        <sz val="12"/>
        <color indexed="8"/>
        <rFont val="Calibri"/>
        <family val="2"/>
      </rPr>
      <t>c</t>
    </r>
    <r>
      <rPr>
        <b/>
        <sz val="12"/>
        <color indexed="8"/>
        <rFont val="Calibri"/>
        <family val="2"/>
      </rPr>
      <t xml:space="preserve">ell </t>
    </r>
    <r>
      <rPr>
        <b/>
        <sz val="12"/>
        <color indexed="8"/>
        <rFont val="Calibri"/>
        <family val="2"/>
      </rPr>
      <t>C8</t>
    </r>
    <r>
      <rPr>
        <b/>
        <sz val="12"/>
        <color indexed="8"/>
        <rFont val="Calibri"/>
        <family val="2"/>
      </rPr>
      <t xml:space="preserve"> to</t>
    </r>
    <r>
      <rPr>
        <b/>
        <sz val="12"/>
        <color indexed="8"/>
        <rFont val="Calibri"/>
        <family val="2"/>
      </rPr>
      <t xml:space="preserve"> 'No'</t>
    </r>
    <r>
      <rPr>
        <b/>
        <sz val="12"/>
        <color indexed="8"/>
        <rFont val="Calibri"/>
        <family val="2"/>
      </rPr>
      <t xml:space="preserve">; if it is intended that these systems operate in both heating and cooling modes, set the value to </t>
    </r>
    <r>
      <rPr>
        <b/>
        <sz val="12"/>
        <color indexed="8"/>
        <rFont val="Calibri"/>
        <family val="2"/>
      </rPr>
      <t>'Yes'</t>
    </r>
    <r>
      <rPr>
        <b/>
        <sz val="12"/>
        <color indexed="8"/>
        <rFont val="Calibri"/>
        <family val="2"/>
      </rPr>
      <t>.</t>
    </r>
    <r>
      <rPr>
        <b/>
        <sz val="12"/>
        <color indexed="8"/>
        <rFont val="Calibri"/>
        <family val="2"/>
      </rPr>
      <t xml:space="preserve"> Note that a 'Yes' value will eliminate heating-only systems from the analysis. Do NOT use this sheet (NPV Analysis) to change these settings.</t>
    </r>
  </si>
  <si>
    <r>
      <rPr>
        <b/>
        <sz val="12"/>
        <color indexed="10"/>
        <rFont val="Calibri"/>
        <family val="2"/>
      </rPr>
      <t>Note:</t>
    </r>
    <r>
      <rPr>
        <b/>
        <sz val="12"/>
        <rFont val="Calibri"/>
      </rPr>
      <t xml:space="preserve"> Systems 4-13 are able to operate in both heating and cooling modes; if it is intended that these systems operate in heating mode only, refer to the 'Inputs' sheet and set the value of cell C8 to 'No'; if it is intended that these systems operate in both heating and cooling modes, set the value to 'Yes' .Note that a 'Yes' value will eliminate heating-only systems from the analysis. Do NOT use this sheet (NPV Analysis) to change these settings.</t>
    </r>
  </si>
  <si>
    <r>
      <rPr>
        <b/>
        <sz val="12"/>
        <color indexed="11"/>
        <rFont val="Arial"/>
      </rPr>
      <t>Note:</t>
    </r>
    <r>
      <rPr>
        <b/>
        <sz val="12"/>
        <color indexed="8"/>
        <rFont val="Arial"/>
        <family val="2"/>
      </rPr>
      <t xml:space="preserve"> To change 'Climate Zone', first ensure that 'Location' cell is blank, select 'Climate Zone', then re-select 'Location'. If a default Location is not chosen from the list, please manually enter Specific Heating &amp; Cooling Loads, and Specific Electricity &amp; Wood Fuel Costs.</t>
    </r>
  </si>
  <si>
    <t>Project NPV Inputs Summary</t>
  </si>
  <si>
    <t>System NPV Inputs Summary</t>
  </si>
  <si>
    <t>System      Re-Use Factor          (0 - 1)</t>
  </si>
  <si>
    <t>Conversion Efficiency</t>
  </si>
  <si>
    <r>
      <rPr>
        <b/>
        <sz val="12"/>
        <color indexed="11"/>
        <rFont val="Arial"/>
      </rPr>
      <t>Note:</t>
    </r>
    <r>
      <rPr>
        <b/>
        <sz val="12"/>
        <color indexed="8"/>
        <rFont val="Arial"/>
        <family val="2"/>
      </rPr>
      <t xml:space="preserve"> Annual heating (and, where required, cooling) loads should be approximated using energy modelling, or by other estimation methods. Where loads are expected to differ from the regional defaults provided in the LCCA Calculator, these are to be up-dated under ‘Specific Heating Load' and 'Specific Cooling Load’</t>
    </r>
  </si>
  <si>
    <r>
      <rPr>
        <b/>
        <sz val="12"/>
        <color indexed="11"/>
        <rFont val="Arial"/>
      </rPr>
      <t>Note:</t>
    </r>
    <r>
      <rPr>
        <b/>
        <sz val="12"/>
        <color indexed="8"/>
        <rFont val="Arial"/>
        <family val="2"/>
      </rPr>
      <t xml:space="preserve"> Electricity costs should be derived from existing school electricity bills where available; or otherwise local commercial electricty prices should be used. Where project specific pricing is not available to designers, default pricing should be used.</t>
    </r>
  </si>
  <si>
    <r>
      <rPr>
        <b/>
        <sz val="12"/>
        <color indexed="11"/>
        <rFont val="Arial"/>
      </rPr>
      <t>Note:</t>
    </r>
    <r>
      <rPr>
        <b/>
        <sz val="12"/>
        <color indexed="8"/>
        <rFont val="Arial"/>
        <family val="2"/>
      </rPr>
      <t xml:space="preserve"> Wood fuel costs should be derived from existing school supply contracts, where available. Alternatively, quotes should be sought from local wood fuel suppliers, and the costs used in this analysis should be justified in the Options Report.</t>
    </r>
  </si>
  <si>
    <t>This is the first iteration of the DQLS LCCA Calculator
Feedback will be incorporated into future updates</t>
  </si>
  <si>
    <t>Introduction</t>
  </si>
  <si>
    <t>This tool has been colour coded for simplicity of use. Cells with green text require user input; some inputs may be restricted to values from drop-down lists. The values in cells with black text cannot be altered.</t>
  </si>
  <si>
    <t>Input the name of the school project</t>
  </si>
  <si>
    <t>Default electricity costs are provided for default locations. These costs are appropriate for preliminary analysis only. Electricity costs should be derived from existing school electricity bills where available; or otherwise local commercial electricty prices should be used. Where project specific pricing is not available to designers, default pricing should be used.</t>
  </si>
  <si>
    <r>
      <rPr>
        <b/>
        <sz val="16"/>
        <color indexed="11"/>
        <rFont val="Arial"/>
      </rPr>
      <t>*</t>
    </r>
    <r>
      <rPr>
        <b/>
        <sz val="12"/>
        <color indexed="8"/>
        <rFont val="Arial"/>
        <family val="2"/>
      </rPr>
      <t xml:space="preserve"> Unlike other systems, the capital cost of Packaged Ducted A/C Units includes mechanical ventilation. Where mechanical ventilation is required, specific infrastructure costs (Column F) should be used to ensure that provision of mechanical ventilation is included uniformly across all system options. Ascertain the capital cost of mechanical ventilation, and include as a specific infrastructure cost for relevant system types.</t>
    </r>
  </si>
  <si>
    <r>
      <t>To adjust the capital cost/m</t>
    </r>
    <r>
      <rPr>
        <vertAlign val="superscript"/>
        <sz val="12"/>
        <color indexed="8"/>
        <rFont val="Arial"/>
      </rPr>
      <t>2</t>
    </r>
    <r>
      <rPr>
        <sz val="12"/>
        <color indexed="8"/>
        <rFont val="Arial"/>
      </rPr>
      <t xml:space="preserve"> of a particular system to reflect re-use of existing infrastructure, adjust the 'System Re-Use Factor'. A value of 0 (zero) corresponds to nil re-use; a value of 1 (one) corresponds to complete re-use of an existing system. The 'Re-Use Factor' does not affect replacement or maintenance costs. Do NOT adjust 'Specific Capital Cost' to account for system re-use - 'Specific Capital Cost' must reflect the full value of a new system.</t>
    </r>
  </si>
  <si>
    <t xml:space="preserve">Default capital costs are provided for each system type. Where the project Quantity Surveyor &amp; Services Engineer agree that project specific capital costs will differ from the defaults, up-date the values in Column I. </t>
  </si>
  <si>
    <t>Default heating &amp; cooling conversion efficiencies are provided for each system type.These values are appropriate for preliminary analysis only. Subsequent analyses should use manufacturer's efficiency data for the design conditions at the project location. Use Columns K &amp; M to up-date system efficiencies. Values must be justified in the Options report.</t>
  </si>
  <si>
    <t>Instructions - Inputs</t>
  </si>
  <si>
    <t>Instructions - Results</t>
  </si>
  <si>
    <t>Three tables and one chart are provided under the 'Results' tab. These should be copied into the Options Report.</t>
  </si>
  <si>
    <t>The 'NPV Results Summary' table should form the basis for the system selection recommendations, along with other non-economic attributes as described in DQLS - IAQTC Section 1.5</t>
  </si>
  <si>
    <t>The 'System NPV' bar chart provides a graphic representation of the NPV results.</t>
  </si>
  <si>
    <t>The 'Project NPV Inputs Summary' table provides a summary of the project characteristics on which the analysis is based.</t>
  </si>
  <si>
    <t>The 'System NPV Inputs Summary' table provides a summary of the  characteristics of each system included in the analysis.</t>
  </si>
  <si>
    <t>Default annual heating (and, where required, cooling) loads are provided for default locations. These loads are appropriate for preliminary analysis only. Heating &amp; cooling loads should subsequently be approximated using energy modelling, or by other estimation methods. Where loads are expected to differ from the regional defaults provided in the LCCA Calculator, these should be up-dated under ‘Specific Heating Load' and 'Specific Cooling Load’.</t>
  </si>
  <si>
    <t>Select systems to include in the analysis (Column E). Note that where mechanical cooling is required, all heating-only systems (1-3, 14) are automatically excluded.</t>
  </si>
  <si>
    <t>Input the project floor area; this is the total floor area to be served by the heating/cooling systems.</t>
  </si>
  <si>
    <t>Select the project Climate Zone and Location from the drop-down lists. To change the 'Climate Zone', first ensure that the 'Location' cell is blank, select 'Climate Zone', then re-select 'Location'. If a location other than a default location is entered, please manually enter Specific Heating &amp; Cooling Loads, and Specific Electricity &amp; Wood Fuel Costs (as applicable).</t>
  </si>
  <si>
    <t>Wood fuel boilers should only be considered where a reliable local supply is available. Default wood fuel costs are appropriate for preliminary analysis only. Wood fuel costs should be derived from existing school supply contracts, where available. Alternatively, quotes should be sought from local wood fuel suppliers, and the costs used in this analysis should be justified in the Options Report.</t>
  </si>
  <si>
    <r>
      <rPr>
        <b/>
        <sz val="12"/>
        <color indexed="8"/>
        <rFont val="Arial"/>
        <family val="2"/>
      </rPr>
      <t>b)</t>
    </r>
    <r>
      <rPr>
        <sz val="12"/>
        <color indexed="8"/>
        <rFont val="Arial"/>
      </rPr>
      <t xml:space="preserve"> Press Ctrl + C to copy the cell range; the target table will be outlined with a dotted 'copy' line</t>
    </r>
  </si>
  <si>
    <t>The bar chart is not locked; copy and paste to the destination document as normal.</t>
  </si>
  <si>
    <r>
      <rPr>
        <b/>
        <sz val="12"/>
        <color indexed="8"/>
        <rFont val="Arial"/>
        <family val="2"/>
      </rPr>
      <t>c)</t>
    </r>
    <r>
      <rPr>
        <sz val="12"/>
        <color indexed="8"/>
        <rFont val="Arial"/>
      </rPr>
      <t xml:space="preserve"> Paste the table to the destination document, using the desired format</t>
    </r>
  </si>
  <si>
    <t>All cells on the Results tab are locked; to copy each of the tables for inclusion in the Options Report:</t>
  </si>
  <si>
    <t>Alpha School</t>
  </si>
  <si>
    <r>
      <rPr>
        <b/>
        <sz val="12"/>
        <color indexed="8"/>
        <rFont val="Arial"/>
        <family val="2"/>
      </rPr>
      <t>a)</t>
    </r>
    <r>
      <rPr>
        <sz val="12"/>
        <color indexed="8"/>
        <rFont val="Arial"/>
      </rPr>
      <t xml:space="preserve">  Input the cell range of the table into the Name Box (refer image below) and press 'Enter'</t>
    </r>
  </si>
  <si>
    <r>
      <t>Include any additional costs associated with a particular system (e.g. electrical transformer up-grades, associated builder’s work, etc.) under ‘Fixed Site Specific Infrastructure Costs’ (Column F). Please enter absolute costs, NOT costs per m</t>
    </r>
    <r>
      <rPr>
        <vertAlign val="superscript"/>
        <sz val="12"/>
        <color indexed="8"/>
        <rFont val="Arial"/>
      </rPr>
      <t>2</t>
    </r>
    <r>
      <rPr>
        <sz val="12"/>
        <color indexed="8"/>
        <rFont val="Arial"/>
      </rPr>
      <t>. Do NOT adjust 'Specific Capital Cost' to include these associated costs. Note that unlike other systems, the capital cost of Packaged Ducted A/C Units includes mechanical ventilation. Where mechanical ventilation is required, specific infrastructure costs (Column F) should be used to ensure that provision of mechanical ventilation is included uniformly across all system options. Ascertain the capital cost of mechanical ventilation, and include as a specific infrastructure cost for relevant system types.</t>
    </r>
  </si>
  <si>
    <t>Select whether mechanical cooling is required to all spaces (cell C8). This should be determined by thermal modelling, in accordance with DQLS - IAQTC Section 1.2, and must be approved by the Ministry. Where mechanical cooling is required to a small proportion of spaces, a separate lifecycle cost analysis should be carried out for those spaces. Systems 4-13 are able to operate in both heating and cooling modes. If mechanical cooling is not required, set the value of cell C8 to 'No'; if it is intended that these systems operate in both heating and cooling modes, set the value to 'Yes'. Note that a 'Yes' value will eliminate all heating-only systems (1-3, 14) from the analysis.</t>
  </si>
  <si>
    <t>DQLS - IAQTC
Life Cycle Cost Analysis Calculator                                                                                            Version 1.0</t>
  </si>
  <si>
    <t>This tool calculates the Life Cycle Cost of heating, and - where applicable - cooling, systems for school building projects. This calculator should be used in conjunction with the Ministry of Education's DQLS - IAQTC document, Version 2. Please refer to Section 1.5  of the DQLS - IAQTC document for further context and guidance.</t>
  </si>
  <si>
    <t>New_Plymouth</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</si>
</sst>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 #,##0.00_-;_-* &quot;-&quot;??_-;_-@_-"/>
    <numFmt numFmtId="165" formatCode="0.000"/>
    <numFmt numFmtId="166" formatCode="0.0000"/>
    <numFmt numFmtId="167" formatCode="0.0"/>
    <numFmt numFmtId="168" formatCode="#,##0.0"/>
    <numFmt numFmtId="169" formatCode="#,##0_ ;\-#,##0\ "/>
    <numFmt numFmtId="170" formatCode="#,##0.00_ ;[Red]\-#,##0.00\ "/>
    <numFmt numFmtId="171" formatCode="#,##0_ ;[Red]\-#,##0\ "/>
    <numFmt numFmtId="172" formatCode="0.00_ ;\-0.00\ "/>
  </numFmts>
  <fonts count="92" x14ac:knownFonts="1">
    <font>
      <sz val="12"/>
      <color theme="1"/>
      <name val="Calibri"/>
      <family val="2"/>
      <scheme val="minor"/>
    </font>
    <font>
      <b/>
      <sz val="12"/>
      <color indexed="8"/>
      <name val="Calibri"/>
      <family val="2"/>
    </font>
    <font>
      <sz val="8"/>
      <name val="Calibri"/>
      <family val="2"/>
    </font>
    <font>
      <b/>
      <vertAlign val="superscript"/>
      <sz val="12"/>
      <color indexed="8"/>
      <name val="Calibri"/>
      <family val="2"/>
    </font>
    <font>
      <b/>
      <sz val="12"/>
      <color indexed="10"/>
      <name val="Calibri"/>
      <family val="2"/>
    </font>
    <font>
      <b/>
      <sz val="12"/>
      <color indexed="53"/>
      <name val="Calibri"/>
      <family val="2"/>
    </font>
    <font>
      <b/>
      <sz val="12"/>
      <color indexed="48"/>
      <name val="Calibri"/>
      <family val="2"/>
    </font>
    <font>
      <b/>
      <sz val="14"/>
      <color indexed="10"/>
      <name val="Calibri"/>
      <family val="2"/>
    </font>
    <font>
      <b/>
      <vertAlign val="superscript"/>
      <sz val="14"/>
      <color indexed="9"/>
      <name val="Calibri"/>
      <family val="2"/>
    </font>
    <font>
      <sz val="8"/>
      <name val="Calibri"/>
      <family val="2"/>
    </font>
    <font>
      <b/>
      <sz val="12"/>
      <color indexed="13"/>
      <name val="Calibri"/>
      <family val="2"/>
    </font>
    <font>
      <b/>
      <sz val="12"/>
      <color indexed="49"/>
      <name val="Calibri"/>
      <family val="2"/>
    </font>
    <font>
      <b/>
      <sz val="14"/>
      <color indexed="48"/>
      <name val="Calibri"/>
      <family val="2"/>
    </font>
    <font>
      <sz val="12"/>
      <color indexed="48"/>
      <name val="Calibri"/>
      <family val="2"/>
    </font>
    <font>
      <sz val="12"/>
      <color indexed="53"/>
      <name val="Calibri"/>
      <family val="2"/>
    </font>
    <font>
      <sz val="12"/>
      <color indexed="13"/>
      <name val="Calibri"/>
      <family val="2"/>
    </font>
    <font>
      <b/>
      <sz val="12"/>
      <color indexed="31"/>
      <name val="Calibri"/>
      <family val="2"/>
    </font>
    <font>
      <b/>
      <sz val="12"/>
      <color indexed="22"/>
      <name val="Calibri"/>
      <family val="2"/>
    </font>
    <font>
      <sz val="12"/>
      <color indexed="49"/>
      <name val="Calibri"/>
      <family val="2"/>
    </font>
    <font>
      <sz val="12"/>
      <color indexed="22"/>
      <name val="Calibri"/>
      <family val="2"/>
    </font>
    <font>
      <b/>
      <sz val="12"/>
      <name val="Calibri"/>
    </font>
    <font>
      <b/>
      <sz val="14"/>
      <color indexed="8"/>
      <name val="Calibri"/>
      <family val="2"/>
    </font>
    <font>
      <b/>
      <vertAlign val="superscript"/>
      <sz val="12"/>
      <color indexed="48"/>
      <name val="Calibri"/>
      <family val="2"/>
    </font>
    <font>
      <b/>
      <sz val="11"/>
      <color indexed="8"/>
      <name val="Calibri"/>
      <family val="2"/>
    </font>
    <font>
      <b/>
      <vertAlign val="superscript"/>
      <sz val="12"/>
      <name val="Calibri"/>
      <family val="2"/>
    </font>
    <font>
      <sz val="8"/>
      <name val="Calibri"/>
      <family val="2"/>
    </font>
    <font>
      <b/>
      <vertAlign val="superscript"/>
      <sz val="14"/>
      <color indexed="8"/>
      <name val="Calibri"/>
      <family val="2"/>
    </font>
    <font>
      <b/>
      <sz val="9.5"/>
      <color indexed="8"/>
      <name val="Calibri"/>
      <family val="2"/>
    </font>
    <font>
      <sz val="8"/>
      <name val="Calibri"/>
      <family val="2"/>
    </font>
    <font>
      <b/>
      <sz val="10"/>
      <color indexed="8"/>
      <name val="Calibri"/>
      <family val="2"/>
    </font>
    <font>
      <b/>
      <sz val="12"/>
      <color indexed="17"/>
      <name val="Calibri"/>
    </font>
    <font>
      <sz val="12"/>
      <color indexed="8"/>
      <name val="Arial"/>
    </font>
    <font>
      <b/>
      <sz val="12"/>
      <color indexed="8"/>
      <name val="Arial"/>
      <family val="2"/>
    </font>
    <font>
      <b/>
      <vertAlign val="superscript"/>
      <sz val="12"/>
      <color indexed="8"/>
      <name val="Arial"/>
    </font>
    <font>
      <b/>
      <sz val="14"/>
      <name val="Arial"/>
      <family val="2"/>
    </font>
    <font>
      <b/>
      <sz val="10"/>
      <color indexed="8"/>
      <name val="Arial"/>
    </font>
    <font>
      <sz val="14"/>
      <name val="Arial"/>
    </font>
    <font>
      <b/>
      <sz val="11"/>
      <color indexed="8"/>
      <name val="Arial"/>
    </font>
    <font>
      <b/>
      <sz val="12"/>
      <name val="Arial"/>
    </font>
    <font>
      <sz val="12"/>
      <name val="Arial"/>
    </font>
    <font>
      <b/>
      <sz val="12"/>
      <color indexed="11"/>
      <name val="Arial"/>
    </font>
    <font>
      <vertAlign val="superscript"/>
      <sz val="12"/>
      <color indexed="8"/>
      <name val="Arial"/>
    </font>
    <font>
      <b/>
      <vertAlign val="superscript"/>
      <sz val="16"/>
      <color indexed="11"/>
      <name val="Arial"/>
    </font>
    <font>
      <b/>
      <sz val="16"/>
      <color indexed="11"/>
      <name val="Arial"/>
    </font>
    <font>
      <sz val="10"/>
      <name val="Arial"/>
      <family val="2"/>
    </font>
    <font>
      <sz val="12"/>
      <color theme="1"/>
      <name val="Calibri"/>
      <family val="2"/>
      <scheme val="minor"/>
    </font>
    <font>
      <b/>
      <sz val="12"/>
      <color theme="0"/>
      <name val="Calibri"/>
      <family val="2"/>
      <scheme val="minor"/>
    </font>
    <font>
      <b/>
      <sz val="12"/>
      <color theme="1"/>
      <name val="Calibri"/>
      <family val="2"/>
      <scheme val="minor"/>
    </font>
    <font>
      <sz val="12"/>
      <color rgb="FFFF0000"/>
      <name val="Calibri"/>
      <family val="2"/>
      <scheme val="minor"/>
    </font>
    <font>
      <b/>
      <sz val="14"/>
      <color theme="1"/>
      <name val="Calibri"/>
      <family val="2"/>
      <scheme val="minor"/>
    </font>
    <font>
      <b/>
      <sz val="12"/>
      <color rgb="FFFF0000"/>
      <name val="Calibri"/>
      <family val="2"/>
      <scheme val="minor"/>
    </font>
    <font>
      <b/>
      <sz val="12"/>
      <color rgb="FF008000"/>
      <name val="Calibri"/>
      <family val="2"/>
      <scheme val="minor"/>
    </font>
    <font>
      <b/>
      <sz val="12"/>
      <name val="Calibri"/>
      <scheme val="minor"/>
    </font>
    <font>
      <sz val="12"/>
      <name val="Calibri"/>
      <scheme val="minor"/>
    </font>
    <font>
      <b/>
      <sz val="14"/>
      <color theme="0"/>
      <name val="Calibri"/>
      <family val="2"/>
      <scheme val="minor"/>
    </font>
    <font>
      <sz val="12"/>
      <color rgb="FF008000"/>
      <name val="Calibri"/>
      <family val="2"/>
      <scheme val="minor"/>
    </font>
    <font>
      <b/>
      <sz val="14"/>
      <color rgb="FF3366FF"/>
      <name val="Calibri"/>
      <family val="2"/>
      <scheme val="minor"/>
    </font>
    <font>
      <sz val="14"/>
      <color rgb="FFFF6600"/>
      <name val="Calibri"/>
      <family val="2"/>
      <scheme val="minor"/>
    </font>
    <font>
      <sz val="14"/>
      <color rgb="FFCCFFCC"/>
      <name val="Calibri"/>
      <family val="2"/>
      <scheme val="minor"/>
    </font>
    <font>
      <i/>
      <sz val="12"/>
      <color theme="1"/>
      <name val="Calibri"/>
      <family val="2"/>
      <scheme val="minor"/>
    </font>
    <font>
      <b/>
      <sz val="14"/>
      <color theme="1"/>
      <name val="Calibri"/>
      <family val="2"/>
    </font>
    <font>
      <b/>
      <sz val="12"/>
      <color rgb="FF0000FF"/>
      <name val="Calibri"/>
      <family val="2"/>
      <scheme val="minor"/>
    </font>
    <font>
      <b/>
      <sz val="12"/>
      <color theme="8" tint="0.39997558519241921"/>
      <name val="Calibri"/>
      <family val="2"/>
      <scheme val="minor"/>
    </font>
    <font>
      <b/>
      <sz val="12"/>
      <color rgb="FFFF6600"/>
      <name val="Calibri"/>
      <family val="2"/>
      <scheme val="minor"/>
    </font>
    <font>
      <b/>
      <sz val="12"/>
      <color rgb="FF3366FF"/>
      <name val="Calibri"/>
      <family val="2"/>
    </font>
    <font>
      <b/>
      <sz val="16"/>
      <color theme="1"/>
      <name val="Calibri"/>
      <family val="2"/>
      <scheme val="minor"/>
    </font>
    <font>
      <sz val="10"/>
      <color theme="1"/>
      <name val="Calibri"/>
      <family val="2"/>
      <scheme val="minor"/>
    </font>
    <font>
      <b/>
      <sz val="18"/>
      <color rgb="FFFF0000"/>
      <name val="Calibri"/>
      <family val="2"/>
      <scheme val="minor"/>
    </font>
    <font>
      <sz val="14"/>
      <color rgb="FF008000"/>
      <name val="Calibri"/>
      <scheme val="minor"/>
    </font>
    <font>
      <b/>
      <sz val="18"/>
      <color theme="1"/>
      <name val="Calibri"/>
      <family val="2"/>
      <scheme val="minor"/>
    </font>
    <font>
      <sz val="12"/>
      <color theme="1"/>
      <name val="Arial"/>
    </font>
    <font>
      <b/>
      <sz val="12"/>
      <color theme="1"/>
      <name val="Arial"/>
      <family val="2"/>
    </font>
    <font>
      <b/>
      <sz val="12"/>
      <color rgb="FFFF0000"/>
      <name val="Arial"/>
    </font>
    <font>
      <sz val="12"/>
      <color rgb="FFFF0000"/>
      <name val="Arial"/>
    </font>
    <font>
      <b/>
      <sz val="14"/>
      <color theme="1"/>
      <name val="Arial"/>
    </font>
    <font>
      <sz val="14"/>
      <color rgb="FF00AF23"/>
      <name val="Arial"/>
    </font>
    <font>
      <b/>
      <sz val="12"/>
      <color theme="0"/>
      <name val="Arial"/>
    </font>
    <font>
      <b/>
      <sz val="11"/>
      <color theme="0"/>
      <name val="Arial"/>
      <family val="2"/>
    </font>
    <font>
      <b/>
      <sz val="24"/>
      <color rgb="FF00AF23"/>
      <name val="Arial"/>
    </font>
    <font>
      <b/>
      <sz val="18"/>
      <color theme="1"/>
      <name val="Arial"/>
      <family val="2"/>
    </font>
    <font>
      <b/>
      <sz val="11"/>
      <color theme="1"/>
      <name val="Arial"/>
      <family val="2"/>
    </font>
    <font>
      <sz val="11"/>
      <color theme="1"/>
      <name val="Calibri"/>
      <family val="2"/>
      <scheme val="minor"/>
    </font>
    <font>
      <b/>
      <sz val="20"/>
      <color theme="1"/>
      <name val="Arial"/>
    </font>
    <font>
      <sz val="20"/>
      <color theme="1"/>
      <name val="Calibri"/>
      <family val="2"/>
      <scheme val="minor"/>
    </font>
    <font>
      <b/>
      <sz val="16"/>
      <color theme="1"/>
      <name val="Arial"/>
    </font>
    <font>
      <sz val="16"/>
      <color theme="1"/>
      <name val="Calibri"/>
      <family val="2"/>
      <scheme val="minor"/>
    </font>
    <font>
      <sz val="11"/>
      <color theme="1"/>
      <name val="Arial"/>
      <family val="2"/>
    </font>
    <font>
      <sz val="18"/>
      <color theme="1"/>
      <name val="Calibri"/>
      <family val="2"/>
      <scheme val="minor"/>
    </font>
    <font>
      <b/>
      <sz val="12"/>
      <color theme="1"/>
      <name val="Calibri"/>
      <family val="2"/>
    </font>
    <font>
      <b/>
      <sz val="14"/>
      <name val="Calibri"/>
      <family val="2"/>
      <scheme val="minor"/>
    </font>
    <font>
      <b/>
      <sz val="10"/>
      <color theme="1"/>
      <name val="Calibri"/>
      <family val="2"/>
      <scheme val="minor"/>
    </font>
    <font>
      <sz val="14"/>
      <color theme="1"/>
      <name val="Calibri"/>
      <scheme val="minor"/>
    </font>
  </fonts>
  <fills count="1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38A35A"/>
        <bgColor indexed="64"/>
      </patternFill>
    </fill>
    <fill>
      <patternFill patternType="solid">
        <fgColor rgb="FF7FB947"/>
        <bgColor indexed="64"/>
      </patternFill>
    </fill>
    <fill>
      <patternFill patternType="solid">
        <fgColor theme="0"/>
        <bgColor indexed="64"/>
      </patternFill>
    </fill>
    <fill>
      <patternFill patternType="solid">
        <fgColor rgb="FF82EF23"/>
        <bgColor indexed="64"/>
      </patternFill>
    </fill>
    <fill>
      <patternFill patternType="solid">
        <fgColor rgb="FF34FF1B"/>
        <bgColor indexed="64"/>
      </patternFill>
    </fill>
    <fill>
      <patternFill patternType="solid">
        <fgColor rgb="FF93EF63"/>
        <bgColor indexed="64"/>
      </patternFill>
    </fill>
    <fill>
      <patternFill patternType="solid">
        <fgColor rgb="FF00B050"/>
        <bgColor indexed="64"/>
      </patternFill>
    </fill>
    <fill>
      <patternFill patternType="solid">
        <fgColor rgb="FFFF3939"/>
        <bgColor indexed="64"/>
      </patternFill>
    </fill>
  </fills>
  <borders count="181">
    <border>
      <left/>
      <right/>
      <top/>
      <bottom/>
      <diagonal/>
    </border>
    <border>
      <left style="thick">
        <color auto="1"/>
      </left>
      <right style="medium">
        <color auto="1"/>
      </right>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ck">
        <color auto="1"/>
      </right>
      <top/>
      <bottom style="medium">
        <color auto="1"/>
      </bottom>
      <diagonal/>
    </border>
    <border>
      <left/>
      <right/>
      <top style="thick">
        <color auto="1"/>
      </top>
      <bottom style="thick">
        <color auto="1"/>
      </bottom>
      <diagonal/>
    </border>
    <border>
      <left style="thick">
        <color auto="1"/>
      </left>
      <right style="medium">
        <color auto="1"/>
      </right>
      <top style="thick">
        <color auto="1"/>
      </top>
      <bottom style="thick">
        <color auto="1"/>
      </bottom>
      <diagonal/>
    </border>
    <border>
      <left style="thick">
        <color auto="1"/>
      </left>
      <right style="medium">
        <color auto="1"/>
      </right>
      <top/>
      <bottom style="thick">
        <color auto="1"/>
      </bottom>
      <diagonal/>
    </border>
    <border>
      <left style="medium">
        <color auto="1"/>
      </left>
      <right/>
      <top/>
      <bottom/>
      <diagonal/>
    </border>
    <border>
      <left/>
      <right style="thick">
        <color auto="1"/>
      </right>
      <top style="thick">
        <color auto="1"/>
      </top>
      <bottom/>
      <diagonal/>
    </border>
    <border>
      <left style="thick">
        <color auto="1"/>
      </left>
      <right/>
      <top/>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medium">
        <color auto="1"/>
      </left>
      <right style="thick">
        <color auto="1"/>
      </right>
      <top style="medium">
        <color auto="1"/>
      </top>
      <bottom/>
      <diagonal/>
    </border>
    <border>
      <left style="medium">
        <color auto="1"/>
      </left>
      <right style="thick">
        <color auto="1"/>
      </right>
      <top/>
      <bottom style="thick">
        <color auto="1"/>
      </bottom>
      <diagonal/>
    </border>
    <border>
      <left style="medium">
        <color auto="1"/>
      </left>
      <right style="medium">
        <color auto="1"/>
      </right>
      <top style="thick">
        <color auto="1"/>
      </top>
      <bottom style="thick">
        <color auto="1"/>
      </bottom>
      <diagonal/>
    </border>
    <border>
      <left style="medium">
        <color auto="1"/>
      </left>
      <right style="thick">
        <color auto="1"/>
      </right>
      <top style="thick">
        <color auto="1"/>
      </top>
      <bottom style="thick">
        <color auto="1"/>
      </bottom>
      <diagonal/>
    </border>
    <border>
      <left style="thick">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ck">
        <color auto="1"/>
      </right>
      <top style="thin">
        <color auto="1"/>
      </top>
      <bottom style="thin">
        <color auto="1"/>
      </bottom>
      <diagonal/>
    </border>
    <border>
      <left style="thick">
        <color auto="1"/>
      </left>
      <right style="medium">
        <color auto="1"/>
      </right>
      <top/>
      <bottom style="thin">
        <color auto="1"/>
      </bottom>
      <diagonal/>
    </border>
    <border>
      <left style="medium">
        <color auto="1"/>
      </left>
      <right style="medium">
        <color auto="1"/>
      </right>
      <top/>
      <bottom style="thin">
        <color auto="1"/>
      </bottom>
      <diagonal/>
    </border>
    <border>
      <left style="medium">
        <color auto="1"/>
      </left>
      <right style="thick">
        <color auto="1"/>
      </right>
      <top/>
      <bottom style="thin">
        <color auto="1"/>
      </bottom>
      <diagonal/>
    </border>
    <border>
      <left style="thick">
        <color auto="1"/>
      </left>
      <right style="medium">
        <color auto="1"/>
      </right>
      <top style="thin">
        <color auto="1"/>
      </top>
      <bottom/>
      <diagonal/>
    </border>
    <border>
      <left style="medium">
        <color auto="1"/>
      </left>
      <right style="medium">
        <color auto="1"/>
      </right>
      <top style="thin">
        <color auto="1"/>
      </top>
      <bottom/>
      <diagonal/>
    </border>
    <border>
      <left style="medium">
        <color auto="1"/>
      </left>
      <right style="thick">
        <color auto="1"/>
      </right>
      <top style="thin">
        <color auto="1"/>
      </top>
      <bottom/>
      <diagonal/>
    </border>
    <border>
      <left style="thick">
        <color auto="1"/>
      </left>
      <right style="medium">
        <color auto="1"/>
      </right>
      <top style="thin">
        <color auto="1"/>
      </top>
      <bottom style="thick">
        <color auto="1"/>
      </bottom>
      <diagonal/>
    </border>
    <border>
      <left style="medium">
        <color auto="1"/>
      </left>
      <right style="medium">
        <color auto="1"/>
      </right>
      <top style="thin">
        <color auto="1"/>
      </top>
      <bottom style="thick">
        <color auto="1"/>
      </bottom>
      <diagonal/>
    </border>
    <border>
      <left style="medium">
        <color auto="1"/>
      </left>
      <right style="thick">
        <color auto="1"/>
      </right>
      <top style="thin">
        <color auto="1"/>
      </top>
      <bottom style="thick">
        <color auto="1"/>
      </bottom>
      <diagonal/>
    </border>
    <border>
      <left style="medium">
        <color auto="1"/>
      </left>
      <right style="medium">
        <color auto="1"/>
      </right>
      <top style="medium">
        <color auto="1"/>
      </top>
      <bottom/>
      <diagonal/>
    </border>
    <border>
      <left style="medium">
        <color auto="1"/>
      </left>
      <right style="medium">
        <color auto="1"/>
      </right>
      <top style="thick">
        <color auto="1"/>
      </top>
      <bottom style="thin">
        <color auto="1"/>
      </bottom>
      <diagonal/>
    </border>
    <border>
      <left style="medium">
        <color auto="1"/>
      </left>
      <right style="thick">
        <color auto="1"/>
      </right>
      <top style="thick">
        <color auto="1"/>
      </top>
      <bottom style="thin">
        <color auto="1"/>
      </bottom>
      <diagonal/>
    </border>
    <border>
      <left style="medium">
        <color auto="1"/>
      </left>
      <right style="medium">
        <color auto="1"/>
      </right>
      <top/>
      <bottom style="thick">
        <color auto="1"/>
      </bottom>
      <diagonal/>
    </border>
    <border>
      <left style="medium">
        <color auto="1"/>
      </left>
      <right/>
      <top style="thick">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thick">
        <color auto="1"/>
      </bottom>
      <diagonal/>
    </border>
    <border>
      <left style="thick">
        <color auto="1"/>
      </left>
      <right/>
      <top/>
      <bottom style="thick">
        <color auto="1"/>
      </bottom>
      <diagonal/>
    </border>
    <border>
      <left style="thick">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ck">
        <color auto="1"/>
      </right>
      <top style="medium">
        <color auto="1"/>
      </top>
      <bottom style="thin">
        <color auto="1"/>
      </bottom>
      <diagonal/>
    </border>
    <border>
      <left style="thick">
        <color auto="1"/>
      </left>
      <right style="medium">
        <color auto="1"/>
      </right>
      <top/>
      <bottom style="medium">
        <color auto="1"/>
      </bottom>
      <diagonal/>
    </border>
    <border>
      <left style="thick">
        <color auto="1"/>
      </left>
      <right/>
      <top style="thick">
        <color auto="1"/>
      </top>
      <bottom/>
      <diagonal/>
    </border>
    <border>
      <left style="medium">
        <color auto="1"/>
      </left>
      <right style="thick">
        <color auto="1"/>
      </right>
      <top/>
      <bottom/>
      <diagonal/>
    </border>
    <border>
      <left style="thick">
        <color auto="1"/>
      </left>
      <right style="medium">
        <color auto="1"/>
      </right>
      <top style="thick">
        <color auto="1"/>
      </top>
      <bottom/>
      <diagonal/>
    </border>
    <border>
      <left style="medium">
        <color auto="1"/>
      </left>
      <right style="medium">
        <color auto="1"/>
      </right>
      <top style="thick">
        <color auto="1"/>
      </top>
      <bottom/>
      <diagonal/>
    </border>
    <border>
      <left style="thick">
        <color auto="1"/>
      </left>
      <right/>
      <top style="medium">
        <color auto="1"/>
      </top>
      <bottom style="thin">
        <color auto="1"/>
      </bottom>
      <diagonal/>
    </border>
    <border>
      <left style="thick">
        <color auto="1"/>
      </left>
      <right/>
      <top style="thin">
        <color auto="1"/>
      </top>
      <bottom style="thin">
        <color auto="1"/>
      </bottom>
      <diagonal/>
    </border>
    <border>
      <left style="thick">
        <color auto="1"/>
      </left>
      <right/>
      <top style="thick">
        <color auto="1"/>
      </top>
      <bottom style="thin">
        <color auto="1"/>
      </bottom>
      <diagonal/>
    </border>
    <border>
      <left style="thick">
        <color auto="1"/>
      </left>
      <right/>
      <top style="thin">
        <color auto="1"/>
      </top>
      <bottom style="thick">
        <color auto="1"/>
      </bottom>
      <diagonal/>
    </border>
    <border>
      <left/>
      <right style="medium">
        <color auto="1"/>
      </right>
      <top/>
      <bottom/>
      <diagonal/>
    </border>
    <border>
      <left/>
      <right style="medium">
        <color auto="1"/>
      </right>
      <top/>
      <bottom style="thick">
        <color auto="1"/>
      </bottom>
      <diagonal/>
    </border>
    <border>
      <left style="thick">
        <color auto="1"/>
      </left>
      <right style="medium">
        <color auto="1"/>
      </right>
      <top style="thick">
        <color auto="1"/>
      </top>
      <bottom style="medium">
        <color auto="1"/>
      </bottom>
      <diagonal/>
    </border>
    <border>
      <left style="thick">
        <color auto="1"/>
      </left>
      <right style="medium">
        <color auto="1"/>
      </right>
      <top style="medium">
        <color auto="1"/>
      </top>
      <bottom style="medium">
        <color auto="1"/>
      </bottom>
      <diagonal/>
    </border>
    <border>
      <left style="thick">
        <color auto="1"/>
      </left>
      <right style="medium">
        <color auto="1"/>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right/>
      <top style="thick">
        <color auto="1"/>
      </top>
      <bottom style="medium">
        <color auto="1"/>
      </bottom>
      <diagonal/>
    </border>
    <border>
      <left/>
      <right/>
      <top style="medium">
        <color auto="1"/>
      </top>
      <bottom style="medium">
        <color auto="1"/>
      </bottom>
      <diagonal/>
    </border>
    <border>
      <left style="medium">
        <color auto="1"/>
      </left>
      <right/>
      <top/>
      <bottom style="thick">
        <color auto="1"/>
      </bottom>
      <diagonal/>
    </border>
    <border>
      <left/>
      <right style="thick">
        <color auto="1"/>
      </right>
      <top/>
      <bottom/>
      <diagonal/>
    </border>
    <border>
      <left/>
      <right/>
      <top/>
      <bottom style="thick">
        <color auto="1"/>
      </bottom>
      <diagonal/>
    </border>
    <border>
      <left style="thick">
        <color auto="1"/>
      </left>
      <right style="medium">
        <color auto="1"/>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ck">
        <color auto="1"/>
      </right>
      <top style="thick">
        <color auto="1"/>
      </top>
      <bottom/>
      <diagonal/>
    </border>
    <border>
      <left style="medium">
        <color auto="1"/>
      </left>
      <right/>
      <top style="medium">
        <color auto="1"/>
      </top>
      <bottom/>
      <diagonal/>
    </border>
    <border>
      <left style="medium">
        <color auto="1"/>
      </left>
      <right/>
      <top/>
      <bottom style="medium">
        <color auto="1"/>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style="thick">
        <color auto="1"/>
      </left>
      <right style="medium">
        <color auto="1"/>
      </right>
      <top style="thick">
        <color auto="1"/>
      </top>
      <bottom style="thin">
        <color auto="1"/>
      </bottom>
      <diagonal/>
    </border>
    <border>
      <left/>
      <right style="thick">
        <color auto="1"/>
      </right>
      <top/>
      <bottom style="thick">
        <color auto="1"/>
      </bottom>
      <diagonal/>
    </border>
    <border>
      <left/>
      <right style="thick">
        <color auto="1"/>
      </right>
      <top style="thin">
        <color auto="1"/>
      </top>
      <bottom style="thick">
        <color auto="1"/>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right style="thick">
        <color auto="1"/>
      </right>
      <top style="medium">
        <color auto="1"/>
      </top>
      <bottom style="thin">
        <color auto="1"/>
      </bottom>
      <diagonal/>
    </border>
    <border>
      <left/>
      <right style="thick">
        <color auto="1"/>
      </right>
      <top style="thick">
        <color auto="1"/>
      </top>
      <bottom style="thick">
        <color auto="1"/>
      </bottom>
      <diagonal/>
    </border>
    <border>
      <left style="thick">
        <color auto="1"/>
      </left>
      <right style="thick">
        <color auto="1"/>
      </right>
      <top/>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thick">
        <color auto="1"/>
      </left>
      <right/>
      <top style="thick">
        <color auto="1"/>
      </top>
      <bottom style="medium">
        <color auto="1"/>
      </bottom>
      <diagonal/>
    </border>
    <border>
      <left style="thick">
        <color auto="1"/>
      </left>
      <right/>
      <top style="medium">
        <color auto="1"/>
      </top>
      <bottom style="medium">
        <color auto="1"/>
      </bottom>
      <diagonal/>
    </border>
    <border>
      <left style="thick">
        <color auto="1"/>
      </left>
      <right/>
      <top style="medium">
        <color auto="1"/>
      </top>
      <bottom style="thick">
        <color auto="1"/>
      </bottom>
      <diagonal/>
    </border>
    <border>
      <left/>
      <right style="thick">
        <color auto="1"/>
      </right>
      <top style="thick">
        <color auto="1"/>
      </top>
      <bottom style="medium">
        <color auto="1"/>
      </bottom>
      <diagonal/>
    </border>
    <border>
      <left style="medium">
        <color auto="1"/>
      </left>
      <right style="thick">
        <color auto="1"/>
      </right>
      <top style="medium">
        <color auto="1"/>
      </top>
      <bottom style="medium">
        <color auto="1"/>
      </bottom>
      <diagonal/>
    </border>
    <border>
      <left/>
      <right style="thick">
        <color auto="1"/>
      </right>
      <top style="medium">
        <color auto="1"/>
      </top>
      <bottom style="medium">
        <color auto="1"/>
      </bottom>
      <diagonal/>
    </border>
    <border>
      <left style="thick">
        <color auto="1"/>
      </left>
      <right style="thick">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ck">
        <color auto="1"/>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
      <left/>
      <right style="thick">
        <color auto="1"/>
      </right>
      <top style="medium">
        <color auto="1"/>
      </top>
      <bottom style="thick">
        <color auto="1"/>
      </bottom>
      <diagonal/>
    </border>
    <border>
      <left style="medium">
        <color auto="1"/>
      </left>
      <right style="medium">
        <color auto="1"/>
      </right>
      <top style="medium">
        <color auto="1"/>
      </top>
      <bottom style="thick">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medium">
        <color auto="1"/>
      </top>
      <bottom style="thin">
        <color auto="1"/>
      </bottom>
      <diagonal/>
    </border>
    <border>
      <left style="thick">
        <color auto="1"/>
      </left>
      <right style="thick">
        <color auto="1"/>
      </right>
      <top style="thin">
        <color auto="1"/>
      </top>
      <bottom style="thick">
        <color auto="1"/>
      </bottom>
      <diagonal/>
    </border>
    <border>
      <left style="thick">
        <color auto="1"/>
      </left>
      <right style="thick">
        <color auto="1"/>
      </right>
      <top style="thick">
        <color auto="1"/>
      </top>
      <bottom style="medium">
        <color auto="1"/>
      </bottom>
      <diagonal/>
    </border>
    <border>
      <left style="thick">
        <color auto="1"/>
      </left>
      <right style="thick">
        <color auto="1"/>
      </right>
      <top style="medium">
        <color auto="1"/>
      </top>
      <bottom style="thick">
        <color auto="1"/>
      </bottom>
      <diagonal/>
    </border>
    <border>
      <left/>
      <right/>
      <top style="thick">
        <color auto="1"/>
      </top>
      <bottom/>
      <diagonal/>
    </border>
    <border>
      <left style="medium">
        <color auto="1"/>
      </left>
      <right/>
      <top style="thick">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style="thin">
        <color auto="1"/>
      </right>
      <top style="medium">
        <color auto="1"/>
      </top>
      <bottom style="medium">
        <color auto="1"/>
      </bottom>
      <diagonal/>
    </border>
    <border>
      <left/>
      <right style="medium">
        <color auto="1"/>
      </right>
      <top style="thick">
        <color auto="1"/>
      </top>
      <bottom style="thick">
        <color auto="1"/>
      </bottom>
      <diagonal/>
    </border>
    <border>
      <left/>
      <right style="medium">
        <color auto="1"/>
      </right>
      <top style="thick">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thick">
        <color auto="1"/>
      </left>
      <right/>
      <top/>
      <bottom style="medium">
        <color auto="1"/>
      </bottom>
      <diagonal/>
    </border>
    <border>
      <left style="medium">
        <color auto="1"/>
      </left>
      <right style="thick">
        <color auto="1"/>
      </right>
      <top style="thin">
        <color auto="1"/>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thin">
        <color auto="1"/>
      </bottom>
      <diagonal/>
    </border>
    <border>
      <left/>
      <right style="medium">
        <color auto="1"/>
      </right>
      <top style="thick">
        <color auto="1"/>
      </top>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medium">
        <color auto="1"/>
      </top>
      <bottom style="thick">
        <color auto="1"/>
      </bottom>
      <diagonal/>
    </border>
    <border>
      <left/>
      <right style="medium">
        <color auto="1"/>
      </right>
      <top style="medium">
        <color auto="1"/>
      </top>
      <bottom style="thick">
        <color auto="1"/>
      </bottom>
      <diagonal/>
    </border>
    <border>
      <left style="medium">
        <color auto="1"/>
      </left>
      <right/>
      <top style="medium">
        <color auto="1"/>
      </top>
      <bottom style="medium">
        <color auto="1"/>
      </bottom>
      <diagonal/>
    </border>
    <border>
      <left style="thick">
        <color auto="1"/>
      </left>
      <right style="thick">
        <color auto="1"/>
      </right>
      <top style="medium">
        <color auto="1"/>
      </top>
      <bottom/>
      <diagonal/>
    </border>
    <border>
      <left/>
      <right style="medium">
        <color auto="1"/>
      </right>
      <top style="thick">
        <color auto="1"/>
      </top>
      <bottom style="thin">
        <color auto="1"/>
      </bottom>
      <diagonal/>
    </border>
    <border>
      <left/>
      <right style="medium">
        <color auto="1"/>
      </right>
      <top style="thin">
        <color auto="1"/>
      </top>
      <bottom style="thick">
        <color auto="1"/>
      </bottom>
      <diagonal/>
    </border>
    <border>
      <left style="thick">
        <color rgb="FFFF0000"/>
      </left>
      <right/>
      <top/>
      <bottom/>
      <diagonal/>
    </border>
    <border>
      <left style="medium">
        <color auto="1"/>
      </left>
      <right/>
      <top style="medium">
        <color rgb="FF00AF5E"/>
      </top>
      <bottom style="medium">
        <color rgb="FF00AF5E"/>
      </bottom>
      <diagonal/>
    </border>
    <border>
      <left/>
      <right/>
      <top style="medium">
        <color rgb="FF00AF5E"/>
      </top>
      <bottom style="medium">
        <color rgb="FF00AF5E"/>
      </bottom>
      <diagonal/>
    </border>
    <border>
      <left/>
      <right style="medium">
        <color rgb="FF00AF5E"/>
      </right>
      <top style="medium">
        <color rgb="FF00AF5E"/>
      </top>
      <bottom style="medium">
        <color rgb="FF00AF5E"/>
      </bottom>
      <diagonal/>
    </border>
    <border>
      <left style="medium">
        <color auto="1"/>
      </left>
      <right/>
      <top style="medium">
        <color rgb="FF00AF5E"/>
      </top>
      <bottom/>
      <diagonal/>
    </border>
    <border>
      <left/>
      <right/>
      <top style="medium">
        <color rgb="FF00AF5E"/>
      </top>
      <bottom/>
      <diagonal/>
    </border>
    <border>
      <left/>
      <right style="medium">
        <color rgb="FF00AF5E"/>
      </right>
      <top style="medium">
        <color rgb="FF00AF5E"/>
      </top>
      <bottom/>
      <diagonal/>
    </border>
    <border>
      <left/>
      <right style="medium">
        <color rgb="FF00AF5E"/>
      </right>
      <top/>
      <bottom/>
      <diagonal/>
    </border>
    <border>
      <left style="medium">
        <color auto="1"/>
      </left>
      <right/>
      <top/>
      <bottom style="medium">
        <color rgb="FF00AF5E"/>
      </bottom>
      <diagonal/>
    </border>
    <border>
      <left/>
      <right/>
      <top/>
      <bottom style="medium">
        <color rgb="FF00AF5E"/>
      </bottom>
      <diagonal/>
    </border>
    <border>
      <left/>
      <right style="medium">
        <color rgb="FF00AF5E"/>
      </right>
      <top/>
      <bottom style="medium">
        <color rgb="FF00AF5E"/>
      </bottom>
      <diagonal/>
    </border>
    <border>
      <left/>
      <right/>
      <top style="medium">
        <color rgb="FF00AF00"/>
      </top>
      <bottom/>
      <diagonal/>
    </border>
    <border>
      <left/>
      <right style="medium">
        <color rgb="FF00AF00"/>
      </right>
      <top style="medium">
        <color rgb="FF00AF00"/>
      </top>
      <bottom/>
      <diagonal/>
    </border>
    <border>
      <left/>
      <right style="medium">
        <color rgb="FF00AF00"/>
      </right>
      <top/>
      <bottom/>
      <diagonal/>
    </border>
    <border>
      <left/>
      <right/>
      <top/>
      <bottom style="medium">
        <color rgb="FF00AF00"/>
      </bottom>
      <diagonal/>
    </border>
    <border>
      <left/>
      <right style="medium">
        <color rgb="FF00AF00"/>
      </right>
      <top/>
      <bottom style="medium">
        <color rgb="FF00AF00"/>
      </bottom>
      <diagonal/>
    </border>
    <border>
      <left style="medium">
        <color auto="1"/>
      </left>
      <right/>
      <top style="medium">
        <color rgb="FF00AF23"/>
      </top>
      <bottom style="medium">
        <color rgb="FF00AF23"/>
      </bottom>
      <diagonal/>
    </border>
    <border>
      <left/>
      <right/>
      <top style="medium">
        <color rgb="FF00AF23"/>
      </top>
      <bottom style="medium">
        <color rgb="FF00AF23"/>
      </bottom>
      <diagonal/>
    </border>
    <border>
      <left/>
      <right style="medium">
        <color rgb="FF00AF23"/>
      </right>
      <top style="medium">
        <color rgb="FF00AF23"/>
      </top>
      <bottom style="medium">
        <color rgb="FF00AF23"/>
      </bottom>
      <diagonal/>
    </border>
    <border>
      <left style="medium">
        <color rgb="FF00AF23"/>
      </left>
      <right/>
      <top style="medium">
        <color rgb="FF00AF23"/>
      </top>
      <bottom/>
      <diagonal/>
    </border>
    <border>
      <left/>
      <right/>
      <top style="medium">
        <color rgb="FF00AF23"/>
      </top>
      <bottom/>
      <diagonal/>
    </border>
    <border>
      <left/>
      <right style="medium">
        <color rgb="FF00AF23"/>
      </right>
      <top style="medium">
        <color rgb="FF00AF23"/>
      </top>
      <bottom/>
      <diagonal/>
    </border>
    <border>
      <left style="medium">
        <color rgb="FF00AF23"/>
      </left>
      <right/>
      <top/>
      <bottom/>
      <diagonal/>
    </border>
    <border>
      <left/>
      <right style="medium">
        <color rgb="FF00AF23"/>
      </right>
      <top/>
      <bottom/>
      <diagonal/>
    </border>
    <border>
      <left style="medium">
        <color rgb="FF00AF23"/>
      </left>
      <right/>
      <top/>
      <bottom style="medium">
        <color rgb="FF00AF23"/>
      </bottom>
      <diagonal/>
    </border>
    <border>
      <left/>
      <right/>
      <top/>
      <bottom style="medium">
        <color rgb="FF00AF23"/>
      </bottom>
      <diagonal/>
    </border>
    <border>
      <left/>
      <right style="medium">
        <color rgb="FF00AF23"/>
      </right>
      <top/>
      <bottom style="medium">
        <color rgb="FF00AF23"/>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style="thick">
        <color auto="1"/>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auto="1"/>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auto="1"/>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4">
    <xf numFmtId="0" fontId="0" fillId="0" borderId="0"/>
    <xf numFmtId="164" fontId="45" fillId="0" borderId="0" applyFont="0" applyFill="0" applyBorder="0" applyAlignment="0" applyProtection="0"/>
    <xf numFmtId="0" fontId="44" fillId="0" borderId="0"/>
    <xf numFmtId="9" fontId="45" fillId="0" borderId="0" applyFont="0" applyFill="0" applyBorder="0" applyAlignment="0" applyProtection="0"/>
  </cellStyleXfs>
  <cellXfs count="1097">
    <xf numFmtId="0" fontId="0" fillId="0" borderId="0" xfId="0"/>
    <xf numFmtId="0" fontId="47" fillId="0" borderId="0" xfId="0" applyFont="1"/>
    <xf numFmtId="0" fontId="0" fillId="0" borderId="0" xfId="0" applyAlignment="1">
      <alignment horizontal="center"/>
    </xf>
    <xf numFmtId="0" fontId="47"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47" fillId="0" borderId="1" xfId="0" applyFont="1" applyBorder="1" applyAlignment="1">
      <alignment vertical="center"/>
    </xf>
    <xf numFmtId="0" fontId="0" fillId="0" borderId="2" xfId="0" applyBorder="1" applyAlignment="1">
      <alignment horizontal="center" vertical="center"/>
    </xf>
    <xf numFmtId="0" fontId="47" fillId="0" borderId="3" xfId="0" applyFont="1" applyBorder="1" applyAlignment="1">
      <alignment horizontal="center" vertical="center"/>
    </xf>
    <xf numFmtId="0" fontId="47" fillId="0" borderId="4" xfId="0" applyFont="1" applyBorder="1" applyAlignment="1">
      <alignment horizontal="center" vertical="center"/>
    </xf>
    <xf numFmtId="0" fontId="47" fillId="0" borderId="0" xfId="0" applyFont="1" applyFill="1"/>
    <xf numFmtId="0" fontId="49" fillId="0" borderId="5" xfId="0" applyFont="1" applyBorder="1" applyAlignment="1">
      <alignment horizontal="center" vertical="center" wrapText="1"/>
    </xf>
    <xf numFmtId="0" fontId="49" fillId="0" borderId="6" xfId="0" applyFont="1" applyBorder="1" applyAlignment="1">
      <alignment vertical="center"/>
    </xf>
    <xf numFmtId="0" fontId="47" fillId="0" borderId="0" xfId="0" applyFont="1" applyBorder="1" applyAlignment="1">
      <alignment horizontal="center" vertical="center"/>
    </xf>
    <xf numFmtId="0" fontId="47" fillId="0" borderId="1" xfId="0" applyFont="1" applyBorder="1" applyAlignment="1">
      <alignment horizontal="center" vertical="center"/>
    </xf>
    <xf numFmtId="0" fontId="47" fillId="0" borderId="7" xfId="0" applyFont="1" applyBorder="1" applyAlignment="1">
      <alignment horizontal="center" vertical="center"/>
    </xf>
    <xf numFmtId="0" fontId="0" fillId="0" borderId="1" xfId="0" applyBorder="1" applyAlignment="1">
      <alignment horizontal="center" vertical="center"/>
    </xf>
    <xf numFmtId="166" fontId="0" fillId="0" borderId="2" xfId="0" applyNumberFormat="1" applyBorder="1" applyAlignment="1">
      <alignment horizontal="center" vertical="center"/>
    </xf>
    <xf numFmtId="0" fontId="47" fillId="0" borderId="0" xfId="0" applyFont="1" applyFill="1" applyBorder="1"/>
    <xf numFmtId="0" fontId="50" fillId="0" borderId="8" xfId="0" applyFont="1" applyBorder="1" applyAlignment="1">
      <alignment vertical="center"/>
    </xf>
    <xf numFmtId="0" fontId="51" fillId="0" borderId="8" xfId="0" applyFont="1" applyBorder="1" applyAlignment="1">
      <alignment vertical="center"/>
    </xf>
    <xf numFmtId="0" fontId="52" fillId="0" borderId="8" xfId="0" applyFont="1" applyBorder="1" applyAlignment="1">
      <alignment vertical="center"/>
    </xf>
    <xf numFmtId="165" fontId="53" fillId="0" borderId="2" xfId="0" applyNumberFormat="1" applyFont="1" applyBorder="1" applyAlignment="1">
      <alignment horizontal="center" vertical="center"/>
    </xf>
    <xf numFmtId="0" fontId="47" fillId="0" borderId="0" xfId="0" applyFont="1" applyAlignment="1">
      <alignment horizontal="center" vertical="center"/>
    </xf>
    <xf numFmtId="0" fontId="0" fillId="0" borderId="0" xfId="0" applyBorder="1"/>
    <xf numFmtId="0" fontId="0" fillId="0" borderId="9" xfId="0" applyBorder="1" applyAlignment="1">
      <alignment horizontal="center" vertical="center"/>
    </xf>
    <xf numFmtId="0" fontId="47" fillId="0" borderId="10" xfId="0" applyFont="1" applyBorder="1" applyAlignment="1">
      <alignment vertical="center"/>
    </xf>
    <xf numFmtId="0" fontId="0" fillId="0" borderId="0" xfId="0" applyFill="1"/>
    <xf numFmtId="168" fontId="47" fillId="2" borderId="11" xfId="0" applyNumberFormat="1" applyFont="1" applyFill="1" applyBorder="1" applyAlignment="1">
      <alignment horizontal="center" vertical="center"/>
    </xf>
    <xf numFmtId="168" fontId="47" fillId="3" borderId="11" xfId="0" applyNumberFormat="1" applyFont="1" applyFill="1" applyBorder="1" applyAlignment="1">
      <alignment horizontal="center" vertical="center"/>
    </xf>
    <xf numFmtId="168" fontId="47" fillId="4" borderId="12" xfId="0" applyNumberFormat="1" applyFont="1" applyFill="1" applyBorder="1" applyAlignment="1">
      <alignment horizontal="center" vertical="center"/>
    </xf>
    <xf numFmtId="40" fontId="47" fillId="4" borderId="13" xfId="0" applyNumberFormat="1" applyFont="1" applyFill="1" applyBorder="1" applyAlignment="1">
      <alignment horizontal="center" vertical="center"/>
    </xf>
    <xf numFmtId="3" fontId="47" fillId="4" borderId="14" xfId="0" applyNumberFormat="1" applyFont="1" applyFill="1" applyBorder="1" applyAlignment="1">
      <alignment horizontal="center" vertical="center"/>
    </xf>
    <xf numFmtId="0" fontId="54" fillId="5" borderId="6" xfId="0" applyFont="1" applyFill="1" applyBorder="1" applyAlignment="1">
      <alignment horizontal="center" vertical="center"/>
    </xf>
    <xf numFmtId="0" fontId="54" fillId="5" borderId="15" xfId="0" applyFont="1" applyFill="1" applyBorder="1" applyAlignment="1">
      <alignment horizontal="left" vertical="center"/>
    </xf>
    <xf numFmtId="0" fontId="54" fillId="5" borderId="16" xfId="0" applyFont="1" applyFill="1" applyBorder="1" applyAlignment="1">
      <alignment horizontal="center" vertical="center" wrapText="1"/>
    </xf>
    <xf numFmtId="0" fontId="47" fillId="0" borderId="17" xfId="0" applyFont="1" applyBorder="1" applyAlignment="1">
      <alignment horizontal="center" vertical="center"/>
    </xf>
    <xf numFmtId="0" fontId="47" fillId="0" borderId="18" xfId="0" applyFont="1" applyBorder="1" applyAlignment="1">
      <alignment vertical="center"/>
    </xf>
    <xf numFmtId="0" fontId="47" fillId="0" borderId="19" xfId="0" applyFont="1" applyBorder="1" applyAlignment="1">
      <alignment horizontal="center" vertical="center"/>
    </xf>
    <xf numFmtId="0" fontId="47" fillId="0" borderId="0" xfId="0" applyFont="1" applyAlignment="1">
      <alignment horizontal="left" vertical="center"/>
    </xf>
    <xf numFmtId="0" fontId="0" fillId="0" borderId="20" xfId="0" applyFont="1" applyBorder="1" applyAlignment="1">
      <alignment horizontal="center" vertical="center"/>
    </xf>
    <xf numFmtId="0" fontId="0" fillId="0" borderId="21" xfId="0" applyFont="1" applyBorder="1" applyAlignment="1">
      <alignment vertical="center"/>
    </xf>
    <xf numFmtId="0" fontId="0" fillId="0" borderId="22" xfId="0" applyFont="1" applyBorder="1" applyAlignment="1">
      <alignment horizontal="center" vertical="center"/>
    </xf>
    <xf numFmtId="0" fontId="54" fillId="5" borderId="15" xfId="0" applyFont="1" applyFill="1" applyBorder="1" applyAlignment="1">
      <alignment horizontal="center" vertical="center" wrapText="1"/>
    </xf>
    <xf numFmtId="0" fontId="0" fillId="0" borderId="21" xfId="0" applyFont="1" applyBorder="1" applyAlignment="1">
      <alignment horizontal="center" vertical="center"/>
    </xf>
    <xf numFmtId="0" fontId="47" fillId="0" borderId="18" xfId="0" applyFont="1" applyBorder="1" applyAlignment="1">
      <alignment horizontal="center" vertical="center"/>
    </xf>
    <xf numFmtId="0" fontId="47" fillId="0" borderId="23" xfId="0" applyFont="1" applyBorder="1" applyAlignment="1">
      <alignment horizontal="center" vertical="center"/>
    </xf>
    <xf numFmtId="0" fontId="47" fillId="0" borderId="24" xfId="0" applyFont="1" applyBorder="1" applyAlignment="1">
      <alignment vertical="center"/>
    </xf>
    <xf numFmtId="0" fontId="47" fillId="0" borderId="24" xfId="0" applyFont="1" applyBorder="1" applyAlignment="1">
      <alignment horizontal="center" vertical="center"/>
    </xf>
    <xf numFmtId="0" fontId="47" fillId="0" borderId="25" xfId="0" applyFont="1" applyBorder="1" applyAlignment="1">
      <alignment horizontal="center" vertical="center"/>
    </xf>
    <xf numFmtId="0" fontId="0" fillId="0" borderId="24" xfId="0" applyFont="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165" fontId="48" fillId="0" borderId="29" xfId="0" applyNumberFormat="1" applyFont="1" applyBorder="1" applyAlignment="1">
      <alignment horizontal="center" vertical="center"/>
    </xf>
    <xf numFmtId="165" fontId="55" fillId="0" borderId="2" xfId="0" applyNumberFormat="1" applyFont="1" applyBorder="1" applyAlignment="1">
      <alignment horizontal="center" vertical="center"/>
    </xf>
    <xf numFmtId="165" fontId="48" fillId="0" borderId="2" xfId="0" applyNumberFormat="1" applyFont="1" applyBorder="1" applyAlignment="1">
      <alignment horizontal="center" vertical="center"/>
    </xf>
    <xf numFmtId="0" fontId="47" fillId="0" borderId="0" xfId="0" applyFont="1" applyFill="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47" fillId="0" borderId="30" xfId="0" applyFont="1" applyFill="1" applyBorder="1" applyAlignment="1">
      <alignment horizontal="left" vertical="center"/>
    </xf>
    <xf numFmtId="0" fontId="0" fillId="0" borderId="31" xfId="0" applyFill="1" applyBorder="1" applyAlignment="1">
      <alignment horizontal="center" vertical="center"/>
    </xf>
    <xf numFmtId="0" fontId="47" fillId="0" borderId="18" xfId="0" applyFont="1" applyFill="1" applyBorder="1" applyAlignment="1">
      <alignment horizontal="left" vertical="center"/>
    </xf>
    <xf numFmtId="0" fontId="0" fillId="0" borderId="19" xfId="0" applyFill="1" applyBorder="1" applyAlignment="1">
      <alignment horizontal="center" vertical="center"/>
    </xf>
    <xf numFmtId="0" fontId="47" fillId="0" borderId="27" xfId="0" applyFont="1" applyFill="1" applyBorder="1" applyAlignment="1">
      <alignment horizontal="left" vertical="center"/>
    </xf>
    <xf numFmtId="0" fontId="0" fillId="0" borderId="28" xfId="0" applyFill="1" applyBorder="1" applyAlignment="1">
      <alignment horizontal="center" vertical="center"/>
    </xf>
    <xf numFmtId="0" fontId="47" fillId="2" borderId="3" xfId="0" applyFont="1" applyFill="1" applyBorder="1" applyAlignment="1">
      <alignment horizontal="center" vertical="center" wrapText="1"/>
    </xf>
    <xf numFmtId="0" fontId="47" fillId="2" borderId="3" xfId="0" applyFont="1" applyFill="1" applyBorder="1" applyAlignment="1">
      <alignment horizontal="center" vertical="center"/>
    </xf>
    <xf numFmtId="0" fontId="47" fillId="2" borderId="1" xfId="0" applyFont="1" applyFill="1" applyBorder="1" applyAlignment="1">
      <alignment horizontal="center"/>
    </xf>
    <xf numFmtId="0" fontId="47" fillId="2" borderId="2" xfId="0" applyFont="1" applyFill="1" applyBorder="1" applyAlignment="1">
      <alignment vertical="center"/>
    </xf>
    <xf numFmtId="0" fontId="0" fillId="2" borderId="2" xfId="0" applyFill="1" applyBorder="1" applyAlignment="1">
      <alignment horizontal="center" vertical="center"/>
    </xf>
    <xf numFmtId="0" fontId="47" fillId="2" borderId="7" xfId="0" applyFont="1" applyFill="1" applyBorder="1" applyAlignment="1">
      <alignment horizontal="center"/>
    </xf>
    <xf numFmtId="0" fontId="47" fillId="2" borderId="32" xfId="0" applyFont="1" applyFill="1" applyBorder="1" applyAlignment="1">
      <alignment vertical="center"/>
    </xf>
    <xf numFmtId="0" fontId="0" fillId="2" borderId="32" xfId="0" applyFill="1" applyBorder="1" applyAlignment="1">
      <alignment horizontal="center" vertical="center"/>
    </xf>
    <xf numFmtId="165" fontId="0" fillId="0" borderId="33" xfId="0" applyNumberFormat="1" applyFill="1" applyBorder="1" applyAlignment="1">
      <alignment horizontal="center" vertical="center"/>
    </xf>
    <xf numFmtId="165" fontId="0" fillId="0" borderId="34" xfId="0" applyNumberFormat="1" applyFill="1" applyBorder="1" applyAlignment="1">
      <alignment horizontal="center" vertical="center"/>
    </xf>
    <xf numFmtId="165" fontId="0" fillId="0" borderId="34" xfId="0" applyNumberFormat="1" applyBorder="1" applyAlignment="1">
      <alignment horizontal="center" vertical="center"/>
    </xf>
    <xf numFmtId="0" fontId="0" fillId="0" borderId="19" xfId="0" applyBorder="1" applyAlignment="1">
      <alignment horizontal="center" vertical="center"/>
    </xf>
    <xf numFmtId="165" fontId="0" fillId="0" borderId="35" xfId="0" applyNumberFormat="1" applyFill="1" applyBorder="1" applyAlignment="1">
      <alignment horizontal="center" vertical="center"/>
    </xf>
    <xf numFmtId="165" fontId="0" fillId="0" borderId="27" xfId="0" applyNumberFormat="1" applyFill="1" applyBorder="1" applyAlignment="1">
      <alignment horizontal="center" vertical="center"/>
    </xf>
    <xf numFmtId="0" fontId="0" fillId="0" borderId="28" xfId="0" applyBorder="1" applyAlignment="1">
      <alignment horizontal="center" vertical="center"/>
    </xf>
    <xf numFmtId="165" fontId="0" fillId="0" borderId="35" xfId="0" applyNumberFormat="1" applyBorder="1" applyAlignment="1">
      <alignment horizontal="center" vertical="center"/>
    </xf>
    <xf numFmtId="165" fontId="0" fillId="0" borderId="33" xfId="0" applyNumberFormat="1" applyBorder="1" applyAlignment="1">
      <alignment horizontal="center" vertical="center"/>
    </xf>
    <xf numFmtId="0" fontId="49" fillId="0" borderId="0" xfId="0" applyFont="1"/>
    <xf numFmtId="0" fontId="56" fillId="0" borderId="0" xfId="0" applyFont="1" applyAlignment="1">
      <alignment horizontal="center"/>
    </xf>
    <xf numFmtId="0" fontId="47" fillId="0" borderId="36" xfId="0" applyFont="1" applyBorder="1" applyAlignment="1">
      <alignment vertical="center"/>
    </xf>
    <xf numFmtId="165" fontId="0" fillId="0" borderId="0" xfId="0" applyNumberFormat="1" applyBorder="1" applyAlignment="1">
      <alignment horizontal="center"/>
    </xf>
    <xf numFmtId="165" fontId="47" fillId="0" borderId="0" xfId="0" applyNumberFormat="1" applyFont="1" applyBorder="1" applyAlignment="1">
      <alignment horizontal="center"/>
    </xf>
    <xf numFmtId="0" fontId="0" fillId="0" borderId="0" xfId="0" applyBorder="1" applyAlignment="1">
      <alignment vertical="center"/>
    </xf>
    <xf numFmtId="0" fontId="57" fillId="0" borderId="0" xfId="0" applyFont="1" applyBorder="1" applyAlignment="1">
      <alignment horizontal="center"/>
    </xf>
    <xf numFmtId="0" fontId="58" fillId="0" borderId="0" xfId="0" applyFont="1" applyBorder="1" applyAlignment="1">
      <alignment horizontal="center"/>
    </xf>
    <xf numFmtId="0" fontId="47" fillId="0" borderId="37" xfId="0" applyFont="1" applyBorder="1" applyAlignment="1">
      <alignment horizontal="center" vertical="center"/>
    </xf>
    <xf numFmtId="165" fontId="47" fillId="0" borderId="38" xfId="0" applyNumberFormat="1" applyFont="1" applyBorder="1" applyAlignment="1">
      <alignment horizontal="center" vertical="center"/>
    </xf>
    <xf numFmtId="165" fontId="47" fillId="0" borderId="39" xfId="0" applyNumberFormat="1" applyFont="1" applyBorder="1" applyAlignment="1">
      <alignment horizontal="center" vertical="center"/>
    </xf>
    <xf numFmtId="0" fontId="47" fillId="0" borderId="26" xfId="0" applyFont="1" applyBorder="1" applyAlignment="1">
      <alignment horizontal="center" vertical="center"/>
    </xf>
    <xf numFmtId="165" fontId="47" fillId="0" borderId="27" xfId="0" applyNumberFormat="1" applyFont="1" applyBorder="1" applyAlignment="1">
      <alignment horizontal="center" vertical="center"/>
    </xf>
    <xf numFmtId="165" fontId="47" fillId="0" borderId="28" xfId="0" applyNumberFormat="1" applyFont="1" applyBorder="1" applyAlignment="1">
      <alignment horizontal="center" vertical="center"/>
    </xf>
    <xf numFmtId="0" fontId="0" fillId="0" borderId="40" xfId="0" applyBorder="1" applyAlignment="1">
      <alignment vertical="center"/>
    </xf>
    <xf numFmtId="0" fontId="47" fillId="0" borderId="41" xfId="0" applyFont="1" applyBorder="1" applyAlignment="1">
      <alignment horizontal="center" vertical="center" wrapText="1"/>
    </xf>
    <xf numFmtId="0" fontId="47" fillId="2" borderId="40" xfId="0" applyFont="1" applyFill="1" applyBorder="1" applyAlignment="1">
      <alignment horizontal="center" vertical="center"/>
    </xf>
    <xf numFmtId="0" fontId="47" fillId="2" borderId="4" xfId="0" applyFont="1" applyFill="1" applyBorder="1" applyAlignment="1">
      <alignment horizontal="center" vertical="center" wrapText="1"/>
    </xf>
    <xf numFmtId="0" fontId="0" fillId="2" borderId="42" xfId="0" applyFill="1" applyBorder="1" applyAlignment="1">
      <alignment horizontal="center" vertical="center"/>
    </xf>
    <xf numFmtId="165" fontId="0" fillId="2" borderId="42" xfId="0" applyNumberFormat="1" applyFill="1" applyBorder="1" applyAlignment="1">
      <alignment horizontal="center" vertical="center"/>
    </xf>
    <xf numFmtId="165" fontId="59" fillId="2" borderId="42" xfId="0" applyNumberFormat="1" applyFont="1" applyFill="1" applyBorder="1" applyAlignment="1">
      <alignment horizontal="center" vertical="center"/>
    </xf>
    <xf numFmtId="0" fontId="0" fillId="2" borderId="14" xfId="0" applyFill="1" applyBorder="1" applyAlignment="1">
      <alignment horizontal="center" vertical="center"/>
    </xf>
    <xf numFmtId="0" fontId="0" fillId="2" borderId="2" xfId="0" applyFont="1" applyFill="1" applyBorder="1" applyAlignment="1">
      <alignment horizontal="center" vertical="center"/>
    </xf>
    <xf numFmtId="165" fontId="0" fillId="2" borderId="42" xfId="0" applyNumberFormat="1" applyFont="1" applyFill="1" applyBorder="1" applyAlignment="1">
      <alignment horizontal="center" vertical="center"/>
    </xf>
    <xf numFmtId="0" fontId="0" fillId="0" borderId="0" xfId="0" applyFont="1" applyAlignment="1">
      <alignment vertical="center"/>
    </xf>
    <xf numFmtId="0" fontId="0" fillId="0" borderId="0" xfId="0" applyFont="1"/>
    <xf numFmtId="165" fontId="0" fillId="0" borderId="19" xfId="0" applyNumberFormat="1" applyBorder="1" applyAlignment="1">
      <alignment horizontal="center" vertical="center"/>
    </xf>
    <xf numFmtId="165" fontId="0" fillId="0" borderId="31" xfId="0" applyNumberFormat="1" applyBorder="1" applyAlignment="1">
      <alignment horizontal="center" vertical="center"/>
    </xf>
    <xf numFmtId="165" fontId="0" fillId="0" borderId="28" xfId="0" applyNumberFormat="1" applyBorder="1" applyAlignment="1">
      <alignment horizontal="center" vertical="center"/>
    </xf>
    <xf numFmtId="0" fontId="47" fillId="0" borderId="18" xfId="0" applyFont="1" applyFill="1" applyBorder="1" applyAlignment="1">
      <alignment horizontal="left" vertical="center" wrapText="1"/>
    </xf>
    <xf numFmtId="0" fontId="60" fillId="0" borderId="41" xfId="0" applyFont="1" applyBorder="1" applyAlignment="1">
      <alignment vertical="center"/>
    </xf>
    <xf numFmtId="0" fontId="47" fillId="0" borderId="2" xfId="0" applyFont="1" applyBorder="1" applyAlignment="1">
      <alignment horizontal="center" vertical="center"/>
    </xf>
    <xf numFmtId="2" fontId="47" fillId="0" borderId="2" xfId="0" applyNumberFormat="1" applyFont="1" applyBorder="1" applyAlignment="1">
      <alignment horizontal="center" vertical="center"/>
    </xf>
    <xf numFmtId="0" fontId="47" fillId="0" borderId="43" xfId="0" applyFont="1" applyBorder="1" applyAlignment="1">
      <alignment horizontal="center" vertical="center"/>
    </xf>
    <xf numFmtId="0" fontId="47" fillId="0" borderId="44" xfId="0" applyFont="1" applyBorder="1" applyAlignment="1">
      <alignment horizontal="center" vertical="center"/>
    </xf>
    <xf numFmtId="1" fontId="0" fillId="0" borderId="21" xfId="0" applyNumberFormat="1" applyFont="1" applyBorder="1" applyAlignment="1">
      <alignment horizontal="center" vertical="center"/>
    </xf>
    <xf numFmtId="0" fontId="47" fillId="0" borderId="0" xfId="0" applyFont="1" applyBorder="1" applyAlignment="1">
      <alignment vertical="center"/>
    </xf>
    <xf numFmtId="0" fontId="47" fillId="0" borderId="45" xfId="0" applyFont="1" applyBorder="1" applyAlignment="1">
      <alignment vertical="center" wrapText="1"/>
    </xf>
    <xf numFmtId="0" fontId="47" fillId="0" borderId="46" xfId="0" applyFont="1" applyBorder="1" applyAlignment="1">
      <alignment vertical="center" wrapText="1"/>
    </xf>
    <xf numFmtId="0" fontId="47" fillId="0" borderId="47" xfId="0" applyFont="1" applyBorder="1" applyAlignment="1">
      <alignment vertical="center" wrapText="1"/>
    </xf>
    <xf numFmtId="0" fontId="47" fillId="0" borderId="48" xfId="0" applyFont="1" applyBorder="1" applyAlignment="1">
      <alignment vertical="center" wrapText="1"/>
    </xf>
    <xf numFmtId="0" fontId="0" fillId="0" borderId="2" xfId="0" applyFill="1" applyBorder="1" applyAlignment="1">
      <alignment horizontal="center" vertical="center"/>
    </xf>
    <xf numFmtId="0" fontId="46" fillId="5" borderId="15" xfId="0" applyFont="1" applyFill="1" applyBorder="1" applyAlignment="1">
      <alignment horizontal="center" vertical="center" wrapText="1"/>
    </xf>
    <xf numFmtId="2" fontId="0" fillId="0" borderId="21" xfId="0" applyNumberFormat="1" applyFont="1" applyBorder="1" applyAlignment="1">
      <alignment horizontal="center" vertical="center"/>
    </xf>
    <xf numFmtId="165" fontId="0" fillId="0" borderId="21" xfId="0" applyNumberFormat="1" applyFont="1" applyBorder="1" applyAlignment="1">
      <alignment horizontal="center" vertical="center"/>
    </xf>
    <xf numFmtId="2" fontId="0" fillId="0" borderId="24" xfId="0" applyNumberFormat="1" applyFont="1" applyBorder="1" applyAlignment="1">
      <alignment horizontal="center" vertical="center"/>
    </xf>
    <xf numFmtId="2" fontId="0" fillId="0" borderId="18" xfId="0" applyNumberFormat="1" applyFont="1" applyBorder="1" applyAlignment="1">
      <alignment horizontal="center" vertical="center"/>
    </xf>
    <xf numFmtId="0" fontId="52" fillId="0" borderId="18" xfId="0" applyFont="1" applyBorder="1" applyAlignment="1">
      <alignment horizontal="center" vertical="center"/>
    </xf>
    <xf numFmtId="0" fontId="47" fillId="0" borderId="41" xfId="0" applyFont="1" applyBorder="1" applyAlignment="1">
      <alignment vertical="center"/>
    </xf>
    <xf numFmtId="0" fontId="47" fillId="0" borderId="7" xfId="0" applyFont="1" applyBorder="1" applyAlignment="1">
      <alignment vertical="center"/>
    </xf>
    <xf numFmtId="2" fontId="47" fillId="0" borderId="49" xfId="0" applyNumberFormat="1" applyFont="1" applyBorder="1" applyAlignment="1">
      <alignment horizontal="center" vertical="center"/>
    </xf>
    <xf numFmtId="0" fontId="47" fillId="0" borderId="50" xfId="0" applyFont="1" applyBorder="1" applyAlignment="1">
      <alignment horizontal="center" vertical="center"/>
    </xf>
    <xf numFmtId="0" fontId="0" fillId="0" borderId="0" xfId="0" applyBorder="1" applyAlignment="1">
      <alignment horizontal="left" vertical="center" wrapText="1" indent="1"/>
    </xf>
    <xf numFmtId="0" fontId="47" fillId="0" borderId="49" xfId="0" applyFont="1" applyBorder="1" applyAlignment="1">
      <alignment horizontal="center" vertical="center"/>
    </xf>
    <xf numFmtId="0" fontId="47" fillId="0" borderId="51" xfId="0" applyFont="1" applyBorder="1" applyAlignment="1">
      <alignment vertical="center" wrapText="1"/>
    </xf>
    <xf numFmtId="0" fontId="47" fillId="0" borderId="52" xfId="0" applyFont="1" applyBorder="1" applyAlignment="1">
      <alignment vertical="center" wrapText="1"/>
    </xf>
    <xf numFmtId="0" fontId="47" fillId="0" borderId="37" xfId="0" applyFont="1" applyBorder="1" applyAlignment="1">
      <alignment vertical="center" wrapText="1"/>
    </xf>
    <xf numFmtId="0" fontId="47" fillId="0" borderId="53" xfId="0" applyFont="1" applyBorder="1" applyAlignment="1">
      <alignment vertical="center" wrapText="1"/>
    </xf>
    <xf numFmtId="2" fontId="47" fillId="0" borderId="54" xfId="0" applyNumberFormat="1" applyFont="1" applyBorder="1" applyAlignment="1">
      <alignment horizontal="center" vertical="center"/>
    </xf>
    <xf numFmtId="2" fontId="47" fillId="0" borderId="55" xfId="0" applyNumberFormat="1" applyFont="1" applyBorder="1" applyAlignment="1">
      <alignment horizontal="center" vertical="center"/>
    </xf>
    <xf numFmtId="2" fontId="47" fillId="0" borderId="56" xfId="0" applyNumberFormat="1" applyFont="1" applyBorder="1" applyAlignment="1">
      <alignment horizontal="center" vertical="center"/>
    </xf>
    <xf numFmtId="2" fontId="47" fillId="0" borderId="57" xfId="0" applyNumberFormat="1" applyFont="1" applyBorder="1" applyAlignment="1">
      <alignment horizontal="center" vertical="center"/>
    </xf>
    <xf numFmtId="2" fontId="47" fillId="0" borderId="58" xfId="0" applyNumberFormat="1" applyFont="1" applyBorder="1" applyAlignment="1">
      <alignment horizontal="center" vertical="center"/>
    </xf>
    <xf numFmtId="0" fontId="0" fillId="0" borderId="0" xfId="0" applyBorder="1" applyAlignment="1">
      <alignment horizontal="center" vertical="center"/>
    </xf>
    <xf numFmtId="0" fontId="47" fillId="0" borderId="10" xfId="0" applyFont="1" applyFill="1" applyBorder="1" applyAlignment="1">
      <alignment vertical="center"/>
    </xf>
    <xf numFmtId="165" fontId="47" fillId="0" borderId="59" xfId="0" applyNumberFormat="1" applyFont="1" applyFill="1" applyBorder="1" applyAlignment="1">
      <alignment horizontal="center" vertical="center"/>
    </xf>
    <xf numFmtId="0" fontId="61" fillId="0" borderId="0" xfId="0" applyFont="1" applyBorder="1" applyAlignment="1">
      <alignment horizontal="left" vertical="center"/>
    </xf>
    <xf numFmtId="0" fontId="47" fillId="0" borderId="59" xfId="0" applyFont="1" applyFill="1" applyBorder="1" applyAlignment="1">
      <alignment horizontal="center" vertical="center"/>
    </xf>
    <xf numFmtId="167" fontId="62" fillId="0" borderId="0" xfId="0" applyNumberFormat="1" applyFont="1" applyBorder="1" applyAlignment="1">
      <alignment horizontal="left" vertical="center"/>
    </xf>
    <xf numFmtId="0" fontId="63" fillId="0" borderId="0" xfId="0" applyFont="1" applyBorder="1" applyAlignment="1">
      <alignment horizontal="left" vertical="center"/>
    </xf>
    <xf numFmtId="2" fontId="47" fillId="0" borderId="59" xfId="0" applyNumberFormat="1" applyFont="1" applyFill="1" applyBorder="1" applyAlignment="1">
      <alignment horizontal="center" vertical="center"/>
    </xf>
    <xf numFmtId="0" fontId="51" fillId="0" borderId="0" xfId="0" applyFont="1" applyFill="1" applyBorder="1" applyAlignment="1">
      <alignment horizontal="left" vertical="center"/>
    </xf>
    <xf numFmtId="0" fontId="52" fillId="0" borderId="0" xfId="0" applyFont="1" applyFill="1" applyBorder="1" applyAlignment="1">
      <alignment horizontal="left" vertical="center"/>
    </xf>
    <xf numFmtId="0" fontId="47" fillId="0" borderId="36" xfId="0" applyFont="1" applyFill="1" applyBorder="1" applyAlignment="1">
      <alignment vertical="center"/>
    </xf>
    <xf numFmtId="0" fontId="53" fillId="0" borderId="60" xfId="0" applyFont="1" applyFill="1" applyBorder="1" applyAlignment="1">
      <alignment horizontal="center" vertical="center"/>
    </xf>
    <xf numFmtId="0" fontId="0" fillId="0" borderId="60" xfId="0" applyBorder="1" applyAlignment="1">
      <alignment horizontal="center" vertical="center"/>
    </xf>
    <xf numFmtId="0" fontId="47" fillId="2" borderId="42" xfId="0" applyFont="1" applyFill="1" applyBorder="1" applyAlignment="1">
      <alignment horizontal="center" vertical="center"/>
    </xf>
    <xf numFmtId="0" fontId="47" fillId="3" borderId="42" xfId="0" applyFont="1" applyFill="1" applyBorder="1" applyAlignment="1">
      <alignment horizontal="center" vertical="center"/>
    </xf>
    <xf numFmtId="0" fontId="47" fillId="0" borderId="51" xfId="0" applyFont="1" applyBorder="1" applyAlignment="1">
      <alignment horizontal="center" vertical="center"/>
    </xf>
    <xf numFmtId="0" fontId="47" fillId="0" borderId="11" xfId="0" applyFont="1" applyBorder="1" applyAlignment="1">
      <alignment horizontal="center" vertical="center"/>
    </xf>
    <xf numFmtId="0" fontId="47" fillId="4" borderId="12" xfId="0" applyFont="1" applyFill="1" applyBorder="1" applyAlignment="1">
      <alignment horizontal="center" vertical="center"/>
    </xf>
    <xf numFmtId="0" fontId="47" fillId="0" borderId="61" xfId="0" applyFont="1" applyBorder="1" applyAlignment="1">
      <alignment vertical="center"/>
    </xf>
    <xf numFmtId="0" fontId="47" fillId="0" borderId="62" xfId="0" applyFont="1" applyBorder="1" applyAlignment="1">
      <alignment horizontal="center" vertical="center"/>
    </xf>
    <xf numFmtId="0" fontId="0" fillId="0" borderId="29" xfId="0" applyBorder="1" applyAlignment="1">
      <alignment horizontal="center" vertical="center"/>
    </xf>
    <xf numFmtId="0" fontId="0" fillId="2" borderId="13" xfId="0" applyFill="1" applyBorder="1" applyAlignment="1">
      <alignment horizontal="center" vertical="center"/>
    </xf>
    <xf numFmtId="0" fontId="0" fillId="0" borderId="62" xfId="0" applyBorder="1" applyAlignment="1">
      <alignment horizontal="center" vertical="center"/>
    </xf>
    <xf numFmtId="0" fontId="0" fillId="3" borderId="13" xfId="0" applyFill="1" applyBorder="1" applyAlignment="1">
      <alignment horizontal="center" vertical="center"/>
    </xf>
    <xf numFmtId="0" fontId="0" fillId="4" borderId="13" xfId="0" applyFill="1" applyBorder="1" applyAlignment="1">
      <alignment horizontal="center" vertical="center"/>
    </xf>
    <xf numFmtId="0" fontId="0" fillId="0" borderId="49" xfId="0" applyBorder="1" applyAlignment="1">
      <alignment horizontal="center" vertical="center"/>
    </xf>
    <xf numFmtId="0" fontId="0" fillId="4" borderId="42" xfId="0" applyFill="1" applyBorder="1" applyAlignment="1">
      <alignment horizontal="center" vertical="center"/>
    </xf>
    <xf numFmtId="1" fontId="0" fillId="0" borderId="2" xfId="0" applyNumberFormat="1" applyBorder="1" applyAlignment="1">
      <alignment horizontal="center" vertical="center"/>
    </xf>
    <xf numFmtId="167" fontId="0" fillId="0" borderId="2" xfId="0" applyNumberFormat="1" applyBorder="1" applyAlignment="1">
      <alignment horizontal="center" vertical="center"/>
    </xf>
    <xf numFmtId="167" fontId="0" fillId="4" borderId="42" xfId="0" applyNumberFormat="1" applyFill="1" applyBorder="1" applyAlignment="1">
      <alignment horizontal="center" vertical="center"/>
    </xf>
    <xf numFmtId="0" fontId="0" fillId="3" borderId="42" xfId="0" applyFill="1" applyBorder="1" applyAlignment="1">
      <alignment horizontal="center" vertical="center"/>
    </xf>
    <xf numFmtId="0" fontId="47" fillId="6" borderId="1" xfId="0" applyFont="1" applyFill="1" applyBorder="1" applyAlignment="1">
      <alignment vertical="center"/>
    </xf>
    <xf numFmtId="0" fontId="47" fillId="6" borderId="2" xfId="0" applyFont="1" applyFill="1" applyBorder="1" applyAlignment="1">
      <alignment horizontal="center" vertical="center"/>
    </xf>
    <xf numFmtId="0" fontId="47" fillId="6" borderId="42" xfId="0" applyFont="1" applyFill="1" applyBorder="1" applyAlignment="1">
      <alignment horizontal="center" vertical="center"/>
    </xf>
    <xf numFmtId="0" fontId="47" fillId="6" borderId="49" xfId="0" applyFont="1" applyFill="1" applyBorder="1" applyAlignment="1">
      <alignment horizontal="center" vertical="center"/>
    </xf>
    <xf numFmtId="0" fontId="47" fillId="0" borderId="40" xfId="0" applyFont="1" applyFill="1" applyBorder="1" applyAlignment="1">
      <alignment vertical="center"/>
    </xf>
    <xf numFmtId="3" fontId="47" fillId="0" borderId="63" xfId="0" applyNumberFormat="1" applyFont="1" applyFill="1" applyBorder="1" applyAlignment="1">
      <alignment horizontal="center" vertical="center"/>
    </xf>
    <xf numFmtId="3" fontId="47" fillId="0" borderId="3" xfId="0" applyNumberFormat="1" applyFont="1" applyFill="1" applyBorder="1" applyAlignment="1">
      <alignment horizontal="center" vertical="center"/>
    </xf>
    <xf numFmtId="3" fontId="47" fillId="2" borderId="4" xfId="0" applyNumberFormat="1" applyFont="1" applyFill="1" applyBorder="1" applyAlignment="1">
      <alignment horizontal="center" vertical="center"/>
    </xf>
    <xf numFmtId="3" fontId="47" fillId="3" borderId="4" xfId="0" applyNumberFormat="1" applyFont="1" applyFill="1" applyBorder="1" applyAlignment="1">
      <alignment horizontal="center" vertical="center"/>
    </xf>
    <xf numFmtId="3" fontId="47" fillId="4" borderId="4" xfId="0" applyNumberFormat="1" applyFont="1" applyFill="1" applyBorder="1" applyAlignment="1">
      <alignment horizontal="center" vertical="center"/>
    </xf>
    <xf numFmtId="166" fontId="0" fillId="2" borderId="42" xfId="0" applyNumberFormat="1" applyFill="1" applyBorder="1" applyAlignment="1">
      <alignment horizontal="center" vertical="center"/>
    </xf>
    <xf numFmtId="166" fontId="0" fillId="0" borderId="49" xfId="0" applyNumberFormat="1" applyBorder="1" applyAlignment="1">
      <alignment horizontal="center" vertical="center"/>
    </xf>
    <xf numFmtId="166" fontId="0" fillId="3" borderId="42" xfId="0" applyNumberFormat="1" applyFill="1" applyBorder="1" applyAlignment="1">
      <alignment horizontal="center" vertical="center"/>
    </xf>
    <xf numFmtId="166" fontId="0" fillId="4" borderId="42" xfId="0" applyNumberFormat="1" applyFill="1" applyBorder="1" applyAlignment="1">
      <alignment horizontal="center" vertical="center"/>
    </xf>
    <xf numFmtId="2" fontId="47" fillId="6" borderId="2" xfId="0" applyNumberFormat="1" applyFont="1" applyFill="1" applyBorder="1" applyAlignment="1">
      <alignment horizontal="center" vertical="center"/>
    </xf>
    <xf numFmtId="2" fontId="47" fillId="6" borderId="42" xfId="0" applyNumberFormat="1" applyFont="1" applyFill="1" applyBorder="1" applyAlignment="1">
      <alignment horizontal="center" vertical="center"/>
    </xf>
    <xf numFmtId="2" fontId="47" fillId="6" borderId="49" xfId="0" applyNumberFormat="1" applyFont="1" applyFill="1" applyBorder="1" applyAlignment="1">
      <alignment horizontal="center" vertical="center"/>
    </xf>
    <xf numFmtId="0" fontId="47" fillId="0" borderId="40" xfId="0" applyFont="1" applyBorder="1" applyAlignment="1">
      <alignment vertical="center"/>
    </xf>
    <xf numFmtId="0" fontId="0" fillId="0" borderId="63" xfId="0" applyBorder="1" applyAlignment="1">
      <alignment horizontal="center" vertical="center"/>
    </xf>
    <xf numFmtId="0" fontId="0" fillId="0" borderId="1" xfId="0" applyBorder="1" applyAlignment="1">
      <alignment vertical="center"/>
    </xf>
    <xf numFmtId="2" fontId="47" fillId="6" borderId="2" xfId="0" quotePrefix="1" applyNumberFormat="1" applyFont="1" applyFill="1" applyBorder="1" applyAlignment="1">
      <alignment horizontal="center" vertical="center"/>
    </xf>
    <xf numFmtId="0" fontId="47" fillId="0" borderId="63" xfId="0" applyFont="1" applyBorder="1" applyAlignment="1">
      <alignment horizontal="center" vertical="center"/>
    </xf>
    <xf numFmtId="2" fontId="47" fillId="2" borderId="42" xfId="0" applyNumberFormat="1" applyFont="1" applyFill="1" applyBorder="1" applyAlignment="1">
      <alignment horizontal="center" vertical="center"/>
    </xf>
    <xf numFmtId="2" fontId="47" fillId="3" borderId="42" xfId="0" applyNumberFormat="1" applyFont="1" applyFill="1" applyBorder="1" applyAlignment="1">
      <alignment horizontal="center" vertical="center"/>
    </xf>
    <xf numFmtId="2" fontId="47" fillId="4" borderId="42" xfId="0" applyNumberFormat="1" applyFont="1" applyFill="1" applyBorder="1" applyAlignment="1">
      <alignment horizontal="center" vertical="center"/>
    </xf>
    <xf numFmtId="168" fontId="47" fillId="0" borderId="0" xfId="0" applyNumberFormat="1" applyFont="1" applyBorder="1" applyAlignment="1">
      <alignment horizontal="center" vertical="center"/>
    </xf>
    <xf numFmtId="40" fontId="47" fillId="2" borderId="2" xfId="0" applyNumberFormat="1" applyFont="1" applyFill="1" applyBorder="1" applyAlignment="1">
      <alignment horizontal="center" vertical="center"/>
    </xf>
    <xf numFmtId="40" fontId="47" fillId="3" borderId="2" xfId="0" applyNumberFormat="1" applyFont="1" applyFill="1" applyBorder="1" applyAlignment="1">
      <alignment horizontal="center" vertical="center"/>
    </xf>
    <xf numFmtId="168" fontId="47" fillId="0" borderId="0" xfId="0" applyNumberFormat="1" applyFont="1" applyAlignment="1">
      <alignment horizontal="center" vertical="center"/>
    </xf>
    <xf numFmtId="0" fontId="47" fillId="0" borderId="1" xfId="0" applyFont="1" applyFill="1" applyBorder="1" applyAlignment="1">
      <alignment vertical="center"/>
    </xf>
    <xf numFmtId="38" fontId="47" fillId="2" borderId="2" xfId="0" applyNumberFormat="1" applyFont="1" applyFill="1" applyBorder="1" applyAlignment="1">
      <alignment horizontal="center" vertical="center"/>
    </xf>
    <xf numFmtId="38" fontId="47" fillId="3" borderId="2" xfId="0" applyNumberFormat="1" applyFont="1" applyFill="1" applyBorder="1" applyAlignment="1">
      <alignment horizontal="center" vertical="center"/>
    </xf>
    <xf numFmtId="38" fontId="47" fillId="4" borderId="42" xfId="0" applyNumberFormat="1" applyFont="1" applyFill="1" applyBorder="1" applyAlignment="1">
      <alignment horizontal="center" vertical="center"/>
    </xf>
    <xf numFmtId="167" fontId="47" fillId="0" borderId="0" xfId="0" applyNumberFormat="1" applyFont="1" applyAlignment="1">
      <alignment horizontal="center" vertical="center"/>
    </xf>
    <xf numFmtId="165" fontId="47" fillId="0" borderId="0" xfId="0" applyNumberFormat="1" applyFont="1" applyAlignment="1">
      <alignment horizontal="center" vertical="center"/>
    </xf>
    <xf numFmtId="0" fontId="47" fillId="0" borderId="7" xfId="0" applyFont="1" applyFill="1" applyBorder="1" applyAlignment="1">
      <alignment vertical="center"/>
    </xf>
    <xf numFmtId="38" fontId="47" fillId="2" borderId="32" xfId="0" applyNumberFormat="1" applyFont="1" applyFill="1" applyBorder="1" applyAlignment="1">
      <alignment horizontal="center" vertical="center"/>
    </xf>
    <xf numFmtId="38" fontId="47" fillId="3" borderId="32" xfId="0" applyNumberFormat="1" applyFont="1" applyFill="1" applyBorder="1" applyAlignment="1">
      <alignment horizontal="center" vertical="center"/>
    </xf>
    <xf numFmtId="38" fontId="47" fillId="4" borderId="14" xfId="0" applyNumberFormat="1" applyFont="1" applyFill="1" applyBorder="1" applyAlignment="1">
      <alignment horizontal="center" vertical="center"/>
    </xf>
    <xf numFmtId="38" fontId="47" fillId="0" borderId="0" xfId="0" applyNumberFormat="1" applyFont="1" applyAlignment="1">
      <alignment horizontal="center" vertical="center"/>
    </xf>
    <xf numFmtId="0" fontId="0" fillId="0" borderId="0" xfId="0" applyFill="1" applyBorder="1" applyAlignment="1">
      <alignment horizontal="center" vertical="center"/>
    </xf>
    <xf numFmtId="0" fontId="47" fillId="3" borderId="8" xfId="0" applyFont="1" applyFill="1" applyBorder="1" applyAlignment="1">
      <alignment horizontal="center" vertical="center"/>
    </xf>
    <xf numFmtId="0" fontId="47" fillId="4" borderId="64" xfId="0" applyFont="1" applyFill="1" applyBorder="1" applyAlignment="1">
      <alignment horizontal="center" vertical="center"/>
    </xf>
    <xf numFmtId="0" fontId="0" fillId="3" borderId="65" xfId="0" applyFill="1" applyBorder="1" applyAlignment="1">
      <alignment horizontal="center" vertical="center"/>
    </xf>
    <xf numFmtId="0" fontId="0" fillId="0" borderId="61" xfId="0" applyBorder="1" applyAlignment="1">
      <alignment horizontal="center" vertical="center"/>
    </xf>
    <xf numFmtId="0" fontId="0" fillId="3" borderId="8" xfId="0" applyFill="1" applyBorder="1" applyAlignment="1">
      <alignment horizontal="center" vertical="center"/>
    </xf>
    <xf numFmtId="0" fontId="47" fillId="6" borderId="8" xfId="0" applyFont="1" applyFill="1" applyBorder="1" applyAlignment="1">
      <alignment horizontal="center" vertical="center"/>
    </xf>
    <xf numFmtId="0" fontId="47" fillId="6" borderId="1" xfId="0" applyFont="1" applyFill="1" applyBorder="1" applyAlignment="1">
      <alignment horizontal="center" vertical="center"/>
    </xf>
    <xf numFmtId="3" fontId="47" fillId="3" borderId="66" xfId="0" applyNumberFormat="1" applyFont="1" applyFill="1" applyBorder="1" applyAlignment="1">
      <alignment horizontal="center" vertical="center"/>
    </xf>
    <xf numFmtId="3" fontId="47" fillId="0" borderId="40" xfId="0" applyNumberFormat="1" applyFont="1" applyFill="1" applyBorder="1" applyAlignment="1">
      <alignment horizontal="center" vertical="center"/>
    </xf>
    <xf numFmtId="166" fontId="0" fillId="3" borderId="8" xfId="0" applyNumberFormat="1" applyFill="1" applyBorder="1" applyAlignment="1">
      <alignment horizontal="center" vertical="center"/>
    </xf>
    <xf numFmtId="166" fontId="0" fillId="0" borderId="1" xfId="0" applyNumberFormat="1" applyBorder="1" applyAlignment="1">
      <alignment horizontal="center" vertical="center"/>
    </xf>
    <xf numFmtId="2" fontId="47" fillId="6" borderId="8" xfId="0" applyNumberFormat="1" applyFont="1" applyFill="1" applyBorder="1" applyAlignment="1">
      <alignment horizontal="center" vertical="center"/>
    </xf>
    <xf numFmtId="2" fontId="47" fillId="6" borderId="1" xfId="0" applyNumberFormat="1" applyFont="1" applyFill="1" applyBorder="1" applyAlignment="1">
      <alignment horizontal="center" vertical="center"/>
    </xf>
    <xf numFmtId="2" fontId="47" fillId="3" borderId="8" xfId="0" applyNumberFormat="1" applyFont="1" applyFill="1" applyBorder="1" applyAlignment="1">
      <alignment horizontal="center" vertical="center"/>
    </xf>
    <xf numFmtId="2" fontId="47" fillId="0" borderId="1" xfId="0" applyNumberFormat="1" applyFont="1" applyBorder="1" applyAlignment="1">
      <alignment horizontal="center" vertical="center"/>
    </xf>
    <xf numFmtId="0" fontId="47" fillId="0" borderId="43" xfId="0" applyFont="1" applyFill="1" applyBorder="1" applyAlignment="1">
      <alignment vertical="center"/>
    </xf>
    <xf numFmtId="3" fontId="47" fillId="0" borderId="0" xfId="0" applyNumberFormat="1" applyFont="1" applyFill="1" applyBorder="1" applyAlignment="1">
      <alignment horizontal="center" vertical="center"/>
    </xf>
    <xf numFmtId="167" fontId="47" fillId="0" borderId="0" xfId="0" applyNumberFormat="1" applyFont="1" applyFill="1" applyAlignment="1">
      <alignment horizontal="center" vertical="center"/>
    </xf>
    <xf numFmtId="165" fontId="47" fillId="0" borderId="0" xfId="0" applyNumberFormat="1" applyFont="1" applyFill="1" applyAlignment="1">
      <alignment horizontal="center" vertical="center"/>
    </xf>
    <xf numFmtId="0" fontId="47" fillId="0" borderId="0" xfId="0" applyFont="1" applyFill="1" applyAlignment="1">
      <alignment horizontal="center" vertical="center"/>
    </xf>
    <xf numFmtId="0" fontId="47" fillId="0" borderId="0" xfId="0" applyFont="1" applyFill="1" applyAlignment="1">
      <alignment vertical="center"/>
    </xf>
    <xf numFmtId="0" fontId="0" fillId="0" borderId="0" xfId="0" applyFill="1" applyAlignment="1">
      <alignment vertical="center"/>
    </xf>
    <xf numFmtId="3" fontId="47" fillId="0" borderId="32" xfId="0" applyNumberFormat="1" applyFont="1" applyBorder="1" applyAlignment="1">
      <alignment horizontal="center" vertical="center"/>
    </xf>
    <xf numFmtId="167" fontId="0" fillId="2" borderId="42" xfId="0" applyNumberFormat="1" applyFill="1" applyBorder="1" applyAlignment="1">
      <alignment horizontal="center" vertical="center"/>
    </xf>
    <xf numFmtId="167" fontId="0" fillId="0" borderId="49" xfId="0" applyNumberFormat="1" applyBorder="1" applyAlignment="1">
      <alignment horizontal="center" vertical="center"/>
    </xf>
    <xf numFmtId="167" fontId="0" fillId="3" borderId="8" xfId="0" applyNumberFormat="1" applyFill="1" applyBorder="1" applyAlignment="1">
      <alignment horizontal="center" vertical="center"/>
    </xf>
    <xf numFmtId="167" fontId="0" fillId="0" borderId="1" xfId="0" applyNumberFormat="1" applyBorder="1" applyAlignment="1">
      <alignment horizontal="center" vertical="center"/>
    </xf>
    <xf numFmtId="0" fontId="52" fillId="0" borderId="10" xfId="0" applyFont="1" applyFill="1" applyBorder="1" applyAlignment="1">
      <alignment horizontal="left" vertical="center"/>
    </xf>
    <xf numFmtId="0" fontId="52" fillId="0" borderId="36" xfId="0" applyFont="1" applyFill="1" applyBorder="1" applyAlignment="1">
      <alignment horizontal="left" vertical="center"/>
    </xf>
    <xf numFmtId="3" fontId="47" fillId="2" borderId="14" xfId="0" applyNumberFormat="1" applyFont="1" applyFill="1" applyBorder="1" applyAlignment="1">
      <alignment horizontal="center" vertical="center"/>
    </xf>
    <xf numFmtId="3" fontId="47" fillId="0" borderId="50" xfId="0" applyNumberFormat="1" applyFont="1" applyBorder="1" applyAlignment="1">
      <alignment horizontal="center" vertical="center"/>
    </xf>
    <xf numFmtId="3" fontId="47" fillId="3" borderId="58" xfId="0" applyNumberFormat="1" applyFont="1" applyFill="1" applyBorder="1" applyAlignment="1">
      <alignment horizontal="center" vertical="center"/>
    </xf>
    <xf numFmtId="3" fontId="47" fillId="0" borderId="7" xfId="0" applyNumberFormat="1" applyFont="1" applyBorder="1" applyAlignment="1">
      <alignment horizontal="center" vertical="center"/>
    </xf>
    <xf numFmtId="167" fontId="47" fillId="0" borderId="43" xfId="0" applyNumberFormat="1" applyFont="1" applyFill="1" applyBorder="1" applyAlignment="1">
      <alignment horizontal="left" vertical="center"/>
    </xf>
    <xf numFmtId="0" fontId="53" fillId="0" borderId="0" xfId="0" applyFont="1" applyFill="1" applyBorder="1" applyAlignment="1">
      <alignment horizontal="center" vertical="center"/>
    </xf>
    <xf numFmtId="0" fontId="64" fillId="0" borderId="10" xfId="0" applyFont="1" applyFill="1" applyBorder="1" applyAlignment="1">
      <alignment vertical="center"/>
    </xf>
    <xf numFmtId="166" fontId="0" fillId="0" borderId="0" xfId="0" applyNumberFormat="1" applyBorder="1" applyAlignment="1">
      <alignment horizontal="center" vertical="center"/>
    </xf>
    <xf numFmtId="166" fontId="0" fillId="0" borderId="0" xfId="0" applyNumberFormat="1" applyAlignment="1">
      <alignment vertical="center"/>
    </xf>
    <xf numFmtId="165" fontId="0" fillId="0" borderId="2" xfId="0" applyNumberFormat="1" applyBorder="1" applyAlignment="1">
      <alignment horizontal="center" vertical="center"/>
    </xf>
    <xf numFmtId="165" fontId="0" fillId="0" borderId="49" xfId="0" applyNumberFormat="1" applyBorder="1" applyAlignment="1">
      <alignment horizontal="center" vertical="center"/>
    </xf>
    <xf numFmtId="165" fontId="0" fillId="3" borderId="42" xfId="0" applyNumberFormat="1" applyFill="1" applyBorder="1" applyAlignment="1">
      <alignment horizontal="center" vertical="center"/>
    </xf>
    <xf numFmtId="165" fontId="0" fillId="4" borderId="42" xfId="0" applyNumberFormat="1" applyFill="1" applyBorder="1" applyAlignment="1">
      <alignment horizontal="center" vertical="center"/>
    </xf>
    <xf numFmtId="168" fontId="47" fillId="7" borderId="0" xfId="0" applyNumberFormat="1" applyFont="1" applyFill="1" applyBorder="1" applyAlignment="1">
      <alignment horizontal="center" vertical="center"/>
    </xf>
    <xf numFmtId="0" fontId="47" fillId="7" borderId="1" xfId="0" applyFont="1" applyFill="1" applyBorder="1" applyAlignment="1">
      <alignment vertical="center"/>
    </xf>
    <xf numFmtId="3" fontId="47" fillId="3" borderId="14" xfId="0" applyNumberFormat="1" applyFont="1" applyFill="1" applyBorder="1" applyAlignment="1">
      <alignment horizontal="center" vertical="center"/>
    </xf>
    <xf numFmtId="0" fontId="20" fillId="0" borderId="1" xfId="0" applyFont="1" applyFill="1" applyBorder="1" applyAlignment="1">
      <alignment vertical="center"/>
    </xf>
    <xf numFmtId="0" fontId="47" fillId="3" borderId="42" xfId="0" quotePrefix="1" applyFont="1" applyFill="1" applyBorder="1" applyAlignment="1">
      <alignment horizontal="center" vertical="center"/>
    </xf>
    <xf numFmtId="0" fontId="52" fillId="0" borderId="43" xfId="0" applyFont="1" applyFill="1" applyBorder="1" applyAlignment="1">
      <alignment horizontal="left" vertical="center"/>
    </xf>
    <xf numFmtId="0" fontId="47" fillId="0" borderId="2" xfId="0" applyFont="1" applyFill="1" applyBorder="1" applyAlignment="1">
      <alignment horizontal="center" vertical="center"/>
    </xf>
    <xf numFmtId="0" fontId="47" fillId="2" borderId="42" xfId="0" quotePrefix="1" applyFont="1" applyFill="1" applyBorder="1" applyAlignment="1">
      <alignment horizontal="center" vertical="center"/>
    </xf>
    <xf numFmtId="0" fontId="0" fillId="0" borderId="49" xfId="0" applyFill="1" applyBorder="1" applyAlignment="1">
      <alignment horizontal="center" vertical="center"/>
    </xf>
    <xf numFmtId="169" fontId="45" fillId="0" borderId="3" xfId="1" applyNumberFormat="1" applyFont="1" applyBorder="1" applyAlignment="1">
      <alignment horizontal="center" vertical="center"/>
    </xf>
    <xf numFmtId="169" fontId="45" fillId="2" borderId="4" xfId="1" applyNumberFormat="1" applyFont="1" applyFill="1" applyBorder="1" applyAlignment="1">
      <alignment horizontal="center" vertical="center"/>
    </xf>
    <xf numFmtId="169" fontId="45" fillId="0" borderId="63" xfId="1" applyNumberFormat="1" applyFont="1" applyBorder="1" applyAlignment="1">
      <alignment horizontal="center" vertical="center"/>
    </xf>
    <xf numFmtId="169" fontId="45" fillId="3" borderId="4" xfId="1" applyNumberFormat="1" applyFont="1" applyFill="1" applyBorder="1" applyAlignment="1">
      <alignment horizontal="center" vertical="center"/>
    </xf>
    <xf numFmtId="169" fontId="45" fillId="4" borderId="4" xfId="1" applyNumberFormat="1" applyFont="1" applyFill="1" applyBorder="1" applyAlignment="1">
      <alignment horizontal="center" vertical="center"/>
    </xf>
    <xf numFmtId="3" fontId="0" fillId="0" borderId="3" xfId="0" applyNumberFormat="1" applyBorder="1" applyAlignment="1">
      <alignment horizontal="center" vertical="center"/>
    </xf>
    <xf numFmtId="3" fontId="0" fillId="2" borderId="4" xfId="0" applyNumberFormat="1" applyFill="1" applyBorder="1" applyAlignment="1">
      <alignment horizontal="center" vertical="center"/>
    </xf>
    <xf numFmtId="3" fontId="0" fillId="0" borderId="63" xfId="0" applyNumberFormat="1" applyBorder="1" applyAlignment="1">
      <alignment horizontal="center" vertical="center"/>
    </xf>
    <xf numFmtId="3" fontId="0" fillId="3" borderId="4" xfId="0" applyNumberFormat="1" applyFill="1" applyBorder="1" applyAlignment="1">
      <alignment horizontal="center" vertical="center"/>
    </xf>
    <xf numFmtId="3" fontId="0" fillId="4" borderId="4" xfId="0" applyNumberFormat="1" applyFill="1" applyBorder="1" applyAlignment="1">
      <alignment horizontal="center" vertical="center"/>
    </xf>
    <xf numFmtId="3" fontId="45" fillId="0" borderId="3" xfId="1" applyNumberFormat="1" applyFont="1" applyBorder="1" applyAlignment="1">
      <alignment horizontal="center" vertical="center"/>
    </xf>
    <xf numFmtId="3" fontId="45" fillId="2" borderId="4" xfId="1" applyNumberFormat="1" applyFont="1" applyFill="1" applyBorder="1" applyAlignment="1">
      <alignment horizontal="center" vertical="center"/>
    </xf>
    <xf numFmtId="3" fontId="45" fillId="0" borderId="63" xfId="1" applyNumberFormat="1" applyFont="1" applyBorder="1" applyAlignment="1">
      <alignment horizontal="center" vertical="center"/>
    </xf>
    <xf numFmtId="3" fontId="45" fillId="3" borderId="66" xfId="1" applyNumberFormat="1" applyFont="1" applyFill="1" applyBorder="1" applyAlignment="1">
      <alignment horizontal="center" vertical="center"/>
    </xf>
    <xf numFmtId="3" fontId="45" fillId="0" borderId="40" xfId="1" applyNumberFormat="1" applyFont="1" applyBorder="1" applyAlignment="1">
      <alignment horizontal="center" vertical="center"/>
    </xf>
    <xf numFmtId="3" fontId="45" fillId="4" borderId="4" xfId="1" applyNumberFormat="1" applyFont="1" applyFill="1" applyBorder="1" applyAlignment="1">
      <alignment horizontal="center" vertical="center"/>
    </xf>
    <xf numFmtId="3" fontId="47" fillId="0" borderId="63" xfId="0" applyNumberFormat="1" applyFont="1" applyBorder="1" applyAlignment="1">
      <alignment horizontal="center" vertical="center"/>
    </xf>
    <xf numFmtId="3" fontId="0" fillId="3" borderId="66" xfId="0" applyNumberFormat="1" applyFill="1" applyBorder="1" applyAlignment="1">
      <alignment horizontal="center" vertical="center"/>
    </xf>
    <xf numFmtId="3" fontId="0" fillId="0" borderId="40" xfId="0" applyNumberFormat="1" applyBorder="1" applyAlignment="1">
      <alignment horizontal="center" vertical="center"/>
    </xf>
    <xf numFmtId="1" fontId="47" fillId="0" borderId="2" xfId="0" applyNumberFormat="1" applyFont="1" applyBorder="1" applyAlignment="1">
      <alignment horizontal="center" vertical="center"/>
    </xf>
    <xf numFmtId="169" fontId="47" fillId="0" borderId="63" xfId="1" applyNumberFormat="1" applyFont="1" applyBorder="1" applyAlignment="1">
      <alignment horizontal="center" vertical="center"/>
    </xf>
    <xf numFmtId="167" fontId="0" fillId="3" borderId="42" xfId="0" applyNumberFormat="1" applyFill="1" applyBorder="1" applyAlignment="1">
      <alignment horizontal="center" vertical="center"/>
    </xf>
    <xf numFmtId="0" fontId="65" fillId="0" borderId="67" xfId="0" applyFont="1" applyBorder="1" applyAlignment="1">
      <alignment horizontal="center" vertical="center" textRotation="90" wrapText="1"/>
    </xf>
    <xf numFmtId="0" fontId="47" fillId="0" borderId="68" xfId="0" applyFont="1" applyFill="1" applyBorder="1" applyAlignment="1">
      <alignment vertical="center" wrapText="1"/>
    </xf>
    <xf numFmtId="0" fontId="49" fillId="2" borderId="7" xfId="0" applyFont="1" applyFill="1" applyBorder="1" applyAlignment="1">
      <alignment horizontal="center" vertical="center" wrapText="1"/>
    </xf>
    <xf numFmtId="0" fontId="49" fillId="2" borderId="14" xfId="0" applyFont="1" applyFill="1" applyBorder="1" applyAlignment="1">
      <alignment horizontal="center" vertical="center" wrapText="1"/>
    </xf>
    <xf numFmtId="0" fontId="49" fillId="3" borderId="7" xfId="0" applyFont="1" applyFill="1" applyBorder="1" applyAlignment="1">
      <alignment horizontal="center" vertical="center" wrapText="1"/>
    </xf>
    <xf numFmtId="0" fontId="49" fillId="3" borderId="14" xfId="0" applyFont="1" applyFill="1" applyBorder="1" applyAlignment="1">
      <alignment horizontal="center" vertical="center" wrapText="1"/>
    </xf>
    <xf numFmtId="40" fontId="47" fillId="3" borderId="69" xfId="0" applyNumberFormat="1" applyFont="1" applyFill="1" applyBorder="1" applyAlignment="1">
      <alignment horizontal="center" vertical="center"/>
    </xf>
    <xf numFmtId="40" fontId="47" fillId="4" borderId="69" xfId="0" applyNumberFormat="1" applyFont="1" applyFill="1" applyBorder="1" applyAlignment="1">
      <alignment horizontal="center" vertical="center"/>
    </xf>
    <xf numFmtId="0" fontId="50" fillId="0" borderId="0" xfId="0" applyFont="1" applyFill="1" applyBorder="1" applyAlignment="1">
      <alignment horizontal="left" vertical="center"/>
    </xf>
    <xf numFmtId="0" fontId="50" fillId="0" borderId="0" xfId="0" applyFont="1" applyBorder="1" applyAlignment="1">
      <alignment horizontal="left" vertical="center"/>
    </xf>
    <xf numFmtId="166" fontId="0" fillId="0" borderId="49" xfId="0" applyNumberFormat="1" applyFill="1" applyBorder="1" applyAlignment="1">
      <alignment horizontal="center" vertical="center"/>
    </xf>
    <xf numFmtId="0" fontId="66" fillId="0" borderId="0" xfId="0" applyFont="1" applyBorder="1" applyAlignment="1">
      <alignment horizontal="center" vertical="center" wrapText="1"/>
    </xf>
    <xf numFmtId="165" fontId="0" fillId="0" borderId="0" xfId="0" applyNumberFormat="1" applyBorder="1" applyAlignment="1">
      <alignment horizontal="center" vertical="center"/>
    </xf>
    <xf numFmtId="165" fontId="0" fillId="0" borderId="30" xfId="0" applyNumberFormat="1" applyFill="1" applyBorder="1" applyAlignment="1">
      <alignment horizontal="center" vertical="center"/>
    </xf>
    <xf numFmtId="165" fontId="0" fillId="0" borderId="18" xfId="0" applyNumberFormat="1" applyFill="1" applyBorder="1" applyAlignment="1">
      <alignment horizontal="center" vertical="center"/>
    </xf>
    <xf numFmtId="165" fontId="0" fillId="0" borderId="18" xfId="0" applyNumberFormat="1" applyBorder="1" applyAlignment="1">
      <alignment horizontal="center"/>
    </xf>
    <xf numFmtId="165" fontId="0" fillId="0" borderId="30" xfId="0" applyNumberFormat="1" applyBorder="1" applyAlignment="1">
      <alignment horizontal="center" vertical="center"/>
    </xf>
    <xf numFmtId="165" fontId="0" fillId="0" borderId="18" xfId="0" applyNumberFormat="1" applyBorder="1" applyAlignment="1">
      <alignment horizontal="center" vertical="center"/>
    </xf>
    <xf numFmtId="165" fontId="0" fillId="0" borderId="27" xfId="0" applyNumberFormat="1" applyBorder="1" applyAlignment="1">
      <alignment horizontal="center" vertical="center"/>
    </xf>
    <xf numFmtId="2" fontId="47" fillId="4" borderId="17" xfId="0" applyNumberFormat="1" applyFont="1" applyFill="1" applyBorder="1" applyAlignment="1">
      <alignment horizontal="center" vertical="center"/>
    </xf>
    <xf numFmtId="2" fontId="47" fillId="4" borderId="37" xfId="0" applyNumberFormat="1" applyFont="1" applyFill="1" applyBorder="1" applyAlignment="1">
      <alignment horizontal="center" vertical="center"/>
    </xf>
    <xf numFmtId="2" fontId="47" fillId="4" borderId="26" xfId="0" applyNumberFormat="1" applyFont="1" applyFill="1" applyBorder="1" applyAlignment="1">
      <alignment horizontal="center" vertical="center"/>
    </xf>
    <xf numFmtId="2" fontId="47" fillId="4" borderId="69" xfId="0" applyNumberFormat="1" applyFont="1" applyFill="1" applyBorder="1" applyAlignment="1">
      <alignment horizontal="center" vertical="center"/>
    </xf>
    <xf numFmtId="2" fontId="47" fillId="4" borderId="6" xfId="0" applyNumberFormat="1" applyFont="1" applyFill="1" applyBorder="1" applyAlignment="1">
      <alignment horizontal="center" vertical="center"/>
    </xf>
    <xf numFmtId="0" fontId="47" fillId="4" borderId="7" xfId="0" applyFont="1" applyFill="1" applyBorder="1" applyAlignment="1">
      <alignment horizontal="center" vertical="center" wrapText="1"/>
    </xf>
    <xf numFmtId="0" fontId="47" fillId="4" borderId="70" xfId="0" applyFont="1" applyFill="1" applyBorder="1" applyAlignment="1">
      <alignment horizontal="center" vertical="center" wrapText="1"/>
    </xf>
    <xf numFmtId="0" fontId="47" fillId="3" borderId="7" xfId="0" applyFont="1" applyFill="1" applyBorder="1" applyAlignment="1">
      <alignment horizontal="center" vertical="center" wrapText="1"/>
    </xf>
    <xf numFmtId="0" fontId="47" fillId="3" borderId="70" xfId="0" applyFont="1" applyFill="1" applyBorder="1" applyAlignment="1">
      <alignment horizontal="center" vertical="center" wrapText="1"/>
    </xf>
    <xf numFmtId="2" fontId="47" fillId="3" borderId="17" xfId="0" applyNumberFormat="1" applyFont="1" applyFill="1" applyBorder="1" applyAlignment="1">
      <alignment horizontal="center" vertical="center"/>
    </xf>
    <xf numFmtId="2" fontId="47" fillId="3" borderId="37" xfId="0" applyNumberFormat="1" applyFont="1" applyFill="1" applyBorder="1" applyAlignment="1">
      <alignment horizontal="center" vertical="center"/>
    </xf>
    <xf numFmtId="2" fontId="47" fillId="3" borderId="26" xfId="0" applyNumberFormat="1" applyFont="1" applyFill="1" applyBorder="1" applyAlignment="1">
      <alignment horizontal="center" vertical="center"/>
    </xf>
    <xf numFmtId="2" fontId="47" fillId="3" borderId="69" xfId="0" applyNumberFormat="1" applyFont="1" applyFill="1" applyBorder="1" applyAlignment="1">
      <alignment horizontal="center" vertical="center"/>
    </xf>
    <xf numFmtId="2" fontId="47" fillId="3" borderId="6" xfId="0" applyNumberFormat="1" applyFont="1" applyFill="1" applyBorder="1" applyAlignment="1">
      <alignment horizontal="center" vertical="center"/>
    </xf>
    <xf numFmtId="0" fontId="47" fillId="2" borderId="7" xfId="0" applyFont="1" applyFill="1" applyBorder="1" applyAlignment="1">
      <alignment horizontal="center" vertical="center" wrapText="1"/>
    </xf>
    <xf numFmtId="0" fontId="47" fillId="2" borderId="70" xfId="0" applyFont="1" applyFill="1" applyBorder="1" applyAlignment="1">
      <alignment horizontal="center" vertical="center" wrapText="1"/>
    </xf>
    <xf numFmtId="2" fontId="47" fillId="2" borderId="17" xfId="0" applyNumberFormat="1" applyFont="1" applyFill="1" applyBorder="1" applyAlignment="1">
      <alignment horizontal="center" vertical="center"/>
    </xf>
    <xf numFmtId="2" fontId="47" fillId="2" borderId="37" xfId="0" applyNumberFormat="1" applyFont="1" applyFill="1" applyBorder="1" applyAlignment="1">
      <alignment horizontal="center" vertical="center"/>
    </xf>
    <xf numFmtId="2" fontId="47" fillId="2" borderId="26" xfId="0" applyNumberFormat="1" applyFont="1" applyFill="1" applyBorder="1" applyAlignment="1">
      <alignment horizontal="center" vertical="center"/>
    </xf>
    <xf numFmtId="2" fontId="47" fillId="2" borderId="69" xfId="0" applyNumberFormat="1" applyFont="1" applyFill="1" applyBorder="1" applyAlignment="1">
      <alignment horizontal="center" vertical="center"/>
    </xf>
    <xf numFmtId="2" fontId="47" fillId="2" borderId="6" xfId="0" applyNumberFormat="1" applyFont="1" applyFill="1" applyBorder="1" applyAlignment="1">
      <alignment horizontal="center" vertical="center"/>
    </xf>
    <xf numFmtId="40" fontId="47" fillId="4" borderId="17" xfId="0" applyNumberFormat="1" applyFont="1" applyFill="1" applyBorder="1" applyAlignment="1">
      <alignment horizontal="center" vertical="center"/>
    </xf>
    <xf numFmtId="3" fontId="47" fillId="4" borderId="19" xfId="0" applyNumberFormat="1" applyFont="1" applyFill="1" applyBorder="1" applyAlignment="1">
      <alignment horizontal="center" vertical="center"/>
    </xf>
    <xf numFmtId="3" fontId="47" fillId="4" borderId="31" xfId="0" applyNumberFormat="1" applyFont="1" applyFill="1" applyBorder="1" applyAlignment="1">
      <alignment horizontal="center" vertical="center"/>
    </xf>
    <xf numFmtId="3" fontId="47" fillId="4" borderId="39" xfId="0" applyNumberFormat="1" applyFont="1" applyFill="1" applyBorder="1" applyAlignment="1">
      <alignment horizontal="center" vertical="center"/>
    </xf>
    <xf numFmtId="3" fontId="47" fillId="4" borderId="28" xfId="0" applyNumberFormat="1" applyFont="1" applyFill="1" applyBorder="1" applyAlignment="1">
      <alignment horizontal="center" vertical="center"/>
    </xf>
    <xf numFmtId="3" fontId="47" fillId="4" borderId="16" xfId="0" applyNumberFormat="1" applyFont="1" applyFill="1" applyBorder="1" applyAlignment="1">
      <alignment horizontal="center" vertical="center"/>
    </xf>
    <xf numFmtId="40" fontId="47" fillId="4" borderId="37" xfId="0" applyNumberFormat="1" applyFont="1" applyFill="1" applyBorder="1" applyAlignment="1">
      <alignment horizontal="center" vertical="center"/>
    </xf>
    <xf numFmtId="40" fontId="47" fillId="4" borderId="26" xfId="0" applyNumberFormat="1" applyFont="1" applyFill="1" applyBorder="1" applyAlignment="1">
      <alignment horizontal="center" vertical="center"/>
    </xf>
    <xf numFmtId="3" fontId="47" fillId="4" borderId="71" xfId="0" applyNumberFormat="1" applyFont="1" applyFill="1" applyBorder="1" applyAlignment="1">
      <alignment horizontal="center" vertical="center"/>
    </xf>
    <xf numFmtId="3" fontId="47" fillId="4" borderId="72" xfId="0" applyNumberFormat="1" applyFont="1" applyFill="1" applyBorder="1" applyAlignment="1">
      <alignment horizontal="center" vertical="center"/>
    </xf>
    <xf numFmtId="3" fontId="47" fillId="4" borderId="73" xfId="0" applyNumberFormat="1" applyFont="1" applyFill="1" applyBorder="1" applyAlignment="1">
      <alignment horizontal="center" vertical="center"/>
    </xf>
    <xf numFmtId="3" fontId="47" fillId="4" borderId="74" xfId="0" applyNumberFormat="1" applyFont="1" applyFill="1" applyBorder="1" applyAlignment="1">
      <alignment horizontal="center" vertical="center"/>
    </xf>
    <xf numFmtId="40" fontId="47" fillId="4" borderId="6" xfId="0" applyNumberFormat="1" applyFont="1" applyFill="1" applyBorder="1" applyAlignment="1">
      <alignment horizontal="center" vertical="center"/>
    </xf>
    <xf numFmtId="3" fontId="47" fillId="4" borderId="75" xfId="0" applyNumberFormat="1" applyFont="1" applyFill="1" applyBorder="1" applyAlignment="1">
      <alignment horizontal="center" vertical="center"/>
    </xf>
    <xf numFmtId="0" fontId="47" fillId="4" borderId="14" xfId="0" applyFont="1" applyFill="1" applyBorder="1" applyAlignment="1">
      <alignment horizontal="center" vertical="center" wrapText="1"/>
    </xf>
    <xf numFmtId="170" fontId="0" fillId="0" borderId="0" xfId="0" applyNumberFormat="1" applyAlignment="1">
      <alignment horizontal="center"/>
    </xf>
    <xf numFmtId="38" fontId="0" fillId="0" borderId="0" xfId="0" applyNumberFormat="1"/>
    <xf numFmtId="0" fontId="47" fillId="0" borderId="76" xfId="0" applyFont="1" applyBorder="1" applyAlignment="1">
      <alignment vertical="center"/>
    </xf>
    <xf numFmtId="0" fontId="65" fillId="0" borderId="67" xfId="0" applyFont="1" applyBorder="1" applyAlignment="1">
      <alignment horizontal="center" vertical="center" textRotation="90" wrapText="1"/>
    </xf>
    <xf numFmtId="0" fontId="49" fillId="0" borderId="77" xfId="0" applyFont="1" applyBorder="1" applyAlignment="1">
      <alignment horizontal="center" vertical="center"/>
    </xf>
    <xf numFmtId="40" fontId="47" fillId="3" borderId="17" xfId="0" applyNumberFormat="1" applyFont="1" applyFill="1" applyBorder="1" applyAlignment="1">
      <alignment horizontal="center" vertical="center"/>
    </xf>
    <xf numFmtId="0" fontId="47" fillId="3" borderId="14" xfId="0" applyFont="1" applyFill="1" applyBorder="1" applyAlignment="1">
      <alignment horizontal="center" vertical="center" wrapText="1"/>
    </xf>
    <xf numFmtId="40" fontId="47" fillId="3" borderId="37" xfId="0" applyNumberFormat="1" applyFont="1" applyFill="1" applyBorder="1" applyAlignment="1">
      <alignment horizontal="center" vertical="center"/>
    </xf>
    <xf numFmtId="40" fontId="47" fillId="3" borderId="26" xfId="0" applyNumberFormat="1" applyFont="1" applyFill="1" applyBorder="1" applyAlignment="1">
      <alignment horizontal="center" vertical="center"/>
    </xf>
    <xf numFmtId="3" fontId="47" fillId="3" borderId="28" xfId="0" applyNumberFormat="1" applyFont="1" applyFill="1" applyBorder="1" applyAlignment="1">
      <alignment horizontal="center" vertical="center"/>
    </xf>
    <xf numFmtId="3" fontId="47" fillId="3" borderId="71" xfId="0" applyNumberFormat="1" applyFont="1" applyFill="1" applyBorder="1" applyAlignment="1">
      <alignment horizontal="center" vertical="center"/>
    </xf>
    <xf numFmtId="3" fontId="47" fillId="3" borderId="31" xfId="0" applyNumberFormat="1" applyFont="1" applyFill="1" applyBorder="1" applyAlignment="1">
      <alignment horizontal="center" vertical="center"/>
    </xf>
    <xf numFmtId="3" fontId="47" fillId="3" borderId="72" xfId="0" applyNumberFormat="1" applyFont="1" applyFill="1" applyBorder="1" applyAlignment="1">
      <alignment horizontal="center" vertical="center"/>
    </xf>
    <xf numFmtId="3" fontId="47" fillId="3" borderId="19" xfId="0" applyNumberFormat="1" applyFont="1" applyFill="1" applyBorder="1" applyAlignment="1">
      <alignment horizontal="center" vertical="center"/>
    </xf>
    <xf numFmtId="3" fontId="47" fillId="3" borderId="73" xfId="0" applyNumberFormat="1" applyFont="1" applyFill="1" applyBorder="1" applyAlignment="1">
      <alignment horizontal="center" vertical="center"/>
    </xf>
    <xf numFmtId="3" fontId="47" fillId="3" borderId="39" xfId="0" applyNumberFormat="1" applyFont="1" applyFill="1" applyBorder="1" applyAlignment="1">
      <alignment horizontal="center" vertical="center"/>
    </xf>
    <xf numFmtId="3" fontId="47" fillId="3" borderId="74" xfId="0" applyNumberFormat="1" applyFont="1" applyFill="1" applyBorder="1" applyAlignment="1">
      <alignment horizontal="center" vertical="center"/>
    </xf>
    <xf numFmtId="40" fontId="47" fillId="3" borderId="6" xfId="0" applyNumberFormat="1" applyFont="1" applyFill="1" applyBorder="1" applyAlignment="1">
      <alignment horizontal="center" vertical="center"/>
    </xf>
    <xf numFmtId="3" fontId="47" fillId="3" borderId="16" xfId="0" applyNumberFormat="1" applyFont="1" applyFill="1" applyBorder="1" applyAlignment="1">
      <alignment horizontal="center" vertical="center"/>
    </xf>
    <xf numFmtId="3" fontId="47" fillId="3" borderId="75" xfId="0" applyNumberFormat="1" applyFont="1" applyFill="1" applyBorder="1" applyAlignment="1">
      <alignment horizontal="center" vertical="center"/>
    </xf>
    <xf numFmtId="0" fontId="47" fillId="2" borderId="14" xfId="0" applyFont="1" applyFill="1" applyBorder="1" applyAlignment="1">
      <alignment horizontal="center" vertical="center" wrapText="1"/>
    </xf>
    <xf numFmtId="171" fontId="47" fillId="2" borderId="31" xfId="1" applyNumberFormat="1" applyFont="1" applyFill="1" applyBorder="1" applyAlignment="1">
      <alignment horizontal="center" vertical="center"/>
    </xf>
    <xf numFmtId="171" fontId="47" fillId="2" borderId="19" xfId="1" applyNumberFormat="1" applyFont="1" applyFill="1" applyBorder="1" applyAlignment="1">
      <alignment horizontal="center" vertical="center"/>
    </xf>
    <xf numFmtId="171" fontId="47" fillId="2" borderId="39" xfId="1" applyNumberFormat="1" applyFont="1" applyFill="1" applyBorder="1" applyAlignment="1">
      <alignment horizontal="center" vertical="center"/>
    </xf>
    <xf numFmtId="171" fontId="47" fillId="2" borderId="28" xfId="1" applyNumberFormat="1" applyFont="1" applyFill="1" applyBorder="1" applyAlignment="1">
      <alignment horizontal="center" vertical="center"/>
    </xf>
    <xf numFmtId="171" fontId="47" fillId="2" borderId="16" xfId="1" applyNumberFormat="1" applyFont="1" applyFill="1" applyBorder="1" applyAlignment="1">
      <alignment horizontal="center" vertical="center"/>
    </xf>
    <xf numFmtId="3" fontId="47" fillId="2" borderId="28" xfId="0" applyNumberFormat="1" applyFont="1" applyFill="1" applyBorder="1" applyAlignment="1">
      <alignment horizontal="center" vertical="center"/>
    </xf>
    <xf numFmtId="3" fontId="47" fillId="2" borderId="71" xfId="0" applyNumberFormat="1" applyFont="1" applyFill="1" applyBorder="1" applyAlignment="1">
      <alignment horizontal="center" vertical="center"/>
    </xf>
    <xf numFmtId="3" fontId="47" fillId="2" borderId="31" xfId="0" applyNumberFormat="1" applyFont="1" applyFill="1" applyBorder="1" applyAlignment="1">
      <alignment horizontal="center" vertical="center"/>
    </xf>
    <xf numFmtId="3" fontId="47" fillId="2" borderId="72" xfId="0" applyNumberFormat="1" applyFont="1" applyFill="1" applyBorder="1" applyAlignment="1">
      <alignment horizontal="center" vertical="center"/>
    </xf>
    <xf numFmtId="3" fontId="47" fillId="2" borderId="19" xfId="0" applyNumberFormat="1" applyFont="1" applyFill="1" applyBorder="1" applyAlignment="1">
      <alignment horizontal="center" vertical="center"/>
    </xf>
    <xf numFmtId="3" fontId="47" fillId="2" borderId="73" xfId="0" applyNumberFormat="1" applyFont="1" applyFill="1" applyBorder="1" applyAlignment="1">
      <alignment horizontal="center" vertical="center"/>
    </xf>
    <xf numFmtId="3" fontId="47" fillId="2" borderId="39" xfId="0" applyNumberFormat="1" applyFont="1" applyFill="1" applyBorder="1" applyAlignment="1">
      <alignment horizontal="center" vertical="center"/>
    </xf>
    <xf numFmtId="3" fontId="47" fillId="2" borderId="74" xfId="0" applyNumberFormat="1" applyFont="1" applyFill="1" applyBorder="1" applyAlignment="1">
      <alignment horizontal="center" vertical="center"/>
    </xf>
    <xf numFmtId="3" fontId="47" fillId="2" borderId="16" xfId="0" applyNumberFormat="1" applyFont="1" applyFill="1" applyBorder="1" applyAlignment="1">
      <alignment horizontal="center" vertical="center"/>
    </xf>
    <xf numFmtId="3" fontId="47" fillId="2" borderId="75" xfId="0" applyNumberFormat="1" applyFont="1" applyFill="1" applyBorder="1" applyAlignment="1">
      <alignment horizontal="center" vertical="center"/>
    </xf>
    <xf numFmtId="0" fontId="49" fillId="0" borderId="78" xfId="0" applyFont="1" applyBorder="1" applyAlignment="1">
      <alignment horizontal="center" vertical="center"/>
    </xf>
    <xf numFmtId="171" fontId="47" fillId="2" borderId="69" xfId="1" applyNumberFormat="1" applyFont="1" applyFill="1" applyBorder="1" applyAlignment="1">
      <alignment horizontal="center" vertical="center"/>
    </xf>
    <xf numFmtId="171" fontId="47" fillId="2" borderId="30" xfId="1" applyNumberFormat="1" applyFont="1" applyFill="1" applyBorder="1" applyAlignment="1">
      <alignment horizontal="center" vertical="center"/>
    </xf>
    <xf numFmtId="171" fontId="47" fillId="2" borderId="17" xfId="1" applyNumberFormat="1" applyFont="1" applyFill="1" applyBorder="1" applyAlignment="1">
      <alignment horizontal="center" vertical="center"/>
    </xf>
    <xf numFmtId="171" fontId="47" fillId="2" borderId="18" xfId="1" applyNumberFormat="1" applyFont="1" applyFill="1" applyBorder="1" applyAlignment="1">
      <alignment horizontal="center" vertical="center"/>
    </xf>
    <xf numFmtId="171" fontId="47" fillId="2" borderId="37" xfId="1" applyNumberFormat="1" applyFont="1" applyFill="1" applyBorder="1" applyAlignment="1">
      <alignment horizontal="center" vertical="center"/>
    </xf>
    <xf numFmtId="171" fontId="47" fillId="2" borderId="38" xfId="1" applyNumberFormat="1" applyFont="1" applyFill="1" applyBorder="1" applyAlignment="1">
      <alignment horizontal="center" vertical="center"/>
    </xf>
    <xf numFmtId="171" fontId="47" fillId="2" borderId="26" xfId="1" applyNumberFormat="1" applyFont="1" applyFill="1" applyBorder="1" applyAlignment="1">
      <alignment horizontal="center" vertical="center"/>
    </xf>
    <xf numFmtId="171" fontId="47" fillId="2" borderId="27" xfId="1" applyNumberFormat="1" applyFont="1" applyFill="1" applyBorder="1" applyAlignment="1">
      <alignment horizontal="center" vertical="center"/>
    </xf>
    <xf numFmtId="171" fontId="47" fillId="2" borderId="6" xfId="1" applyNumberFormat="1" applyFont="1" applyFill="1" applyBorder="1" applyAlignment="1">
      <alignment horizontal="center" vertical="center"/>
    </xf>
    <xf numFmtId="171" fontId="47" fillId="2" borderId="15" xfId="1" applyNumberFormat="1" applyFont="1" applyFill="1" applyBorder="1" applyAlignment="1">
      <alignment horizontal="center" vertical="center"/>
    </xf>
    <xf numFmtId="0" fontId="49" fillId="2" borderId="32" xfId="0" applyFont="1" applyFill="1" applyBorder="1" applyAlignment="1">
      <alignment horizontal="center" vertical="center" wrapText="1"/>
    </xf>
    <xf numFmtId="0" fontId="47" fillId="0" borderId="79" xfId="0" applyFont="1" applyBorder="1" applyAlignment="1">
      <alignment vertical="center" wrapText="1"/>
    </xf>
    <xf numFmtId="0" fontId="47" fillId="0" borderId="80" xfId="0" applyFont="1" applyFill="1" applyBorder="1" applyAlignment="1">
      <alignment vertical="center" wrapText="1"/>
    </xf>
    <xf numFmtId="0" fontId="47" fillId="0" borderId="81" xfId="0" applyFont="1" applyFill="1" applyBorder="1" applyAlignment="1">
      <alignment vertical="center" wrapText="1"/>
    </xf>
    <xf numFmtId="0" fontId="49" fillId="0" borderId="7" xfId="0" applyFont="1" applyFill="1" applyBorder="1" applyAlignment="1">
      <alignment horizontal="center" vertical="center" wrapText="1"/>
    </xf>
    <xf numFmtId="0" fontId="49" fillId="0" borderId="32" xfId="0" applyFont="1" applyFill="1" applyBorder="1" applyAlignment="1">
      <alignment horizontal="center" vertical="center" wrapText="1"/>
    </xf>
    <xf numFmtId="0" fontId="49" fillId="0" borderId="14" xfId="0" applyFont="1" applyFill="1" applyBorder="1" applyAlignment="1">
      <alignment horizontal="center" vertical="center" wrapText="1"/>
    </xf>
    <xf numFmtId="171" fontId="47" fillId="0" borderId="69" xfId="1" applyNumberFormat="1" applyFont="1" applyFill="1" applyBorder="1" applyAlignment="1">
      <alignment horizontal="center" vertical="center"/>
    </xf>
    <xf numFmtId="171" fontId="47" fillId="0" borderId="30" xfId="1" applyNumberFormat="1" applyFont="1" applyFill="1" applyBorder="1" applyAlignment="1">
      <alignment horizontal="center" vertical="center"/>
    </xf>
    <xf numFmtId="171" fontId="47" fillId="0" borderId="31" xfId="1" applyNumberFormat="1" applyFont="1" applyFill="1" applyBorder="1" applyAlignment="1">
      <alignment horizontal="center" vertical="center"/>
    </xf>
    <xf numFmtId="171" fontId="47" fillId="0" borderId="17" xfId="1" applyNumberFormat="1" applyFont="1" applyFill="1" applyBorder="1" applyAlignment="1">
      <alignment horizontal="center" vertical="center"/>
    </xf>
    <xf numFmtId="171" fontId="47" fillId="0" borderId="18" xfId="1" applyNumberFormat="1" applyFont="1" applyFill="1" applyBorder="1" applyAlignment="1">
      <alignment horizontal="center" vertical="center"/>
    </xf>
    <xf numFmtId="171" fontId="47" fillId="0" borderId="19" xfId="1" applyNumberFormat="1" applyFont="1" applyFill="1" applyBorder="1" applyAlignment="1">
      <alignment horizontal="center" vertical="center"/>
    </xf>
    <xf numFmtId="171" fontId="47" fillId="0" borderId="37" xfId="1" applyNumberFormat="1" applyFont="1" applyFill="1" applyBorder="1" applyAlignment="1">
      <alignment horizontal="center" vertical="center"/>
    </xf>
    <xf numFmtId="171" fontId="47" fillId="0" borderId="38" xfId="1" applyNumberFormat="1" applyFont="1" applyFill="1" applyBorder="1" applyAlignment="1">
      <alignment horizontal="center" vertical="center"/>
    </xf>
    <xf numFmtId="171" fontId="47" fillId="0" borderId="39" xfId="1" applyNumberFormat="1" applyFont="1" applyFill="1" applyBorder="1" applyAlignment="1">
      <alignment horizontal="center" vertical="center"/>
    </xf>
    <xf numFmtId="171" fontId="47" fillId="0" borderId="26" xfId="1" applyNumberFormat="1" applyFont="1" applyFill="1" applyBorder="1" applyAlignment="1">
      <alignment horizontal="center" vertical="center"/>
    </xf>
    <xf numFmtId="171" fontId="47" fillId="0" borderId="27" xfId="1" applyNumberFormat="1" applyFont="1" applyFill="1" applyBorder="1" applyAlignment="1">
      <alignment horizontal="center" vertical="center"/>
    </xf>
    <xf numFmtId="171" fontId="47" fillId="0" borderId="28" xfId="1" applyNumberFormat="1" applyFont="1" applyFill="1" applyBorder="1" applyAlignment="1">
      <alignment horizontal="center" vertical="center"/>
    </xf>
    <xf numFmtId="171" fontId="47" fillId="0" borderId="6" xfId="1" applyNumberFormat="1" applyFont="1" applyFill="1" applyBorder="1" applyAlignment="1">
      <alignment horizontal="center" vertical="center"/>
    </xf>
    <xf numFmtId="171" fontId="47" fillId="0" borderId="15" xfId="1" applyNumberFormat="1" applyFont="1" applyFill="1" applyBorder="1" applyAlignment="1">
      <alignment horizontal="center" vertical="center"/>
    </xf>
    <xf numFmtId="171" fontId="47" fillId="0" borderId="16" xfId="1" applyNumberFormat="1" applyFont="1" applyFill="1" applyBorder="1" applyAlignment="1">
      <alignment horizontal="center" vertical="center"/>
    </xf>
    <xf numFmtId="40" fontId="47" fillId="4" borderId="51" xfId="0" applyNumberFormat="1" applyFont="1" applyFill="1" applyBorder="1" applyAlignment="1">
      <alignment horizontal="center" vertical="center"/>
    </xf>
    <xf numFmtId="3" fontId="47" fillId="4" borderId="12" xfId="0" applyNumberFormat="1" applyFont="1" applyFill="1" applyBorder="1" applyAlignment="1">
      <alignment horizontal="center" vertical="center"/>
    </xf>
    <xf numFmtId="2" fontId="47" fillId="4" borderId="51" xfId="0" applyNumberFormat="1" applyFont="1" applyFill="1" applyBorder="1" applyAlignment="1">
      <alignment horizontal="center" vertical="center"/>
    </xf>
    <xf numFmtId="3" fontId="47" fillId="4" borderId="82" xfId="0" applyNumberFormat="1" applyFont="1" applyFill="1" applyBorder="1" applyAlignment="1">
      <alignment horizontal="center" vertical="center"/>
    </xf>
    <xf numFmtId="40" fontId="47" fillId="3" borderId="51" xfId="0" applyNumberFormat="1" applyFont="1" applyFill="1" applyBorder="1" applyAlignment="1">
      <alignment horizontal="center" vertical="center"/>
    </xf>
    <xf numFmtId="3" fontId="47" fillId="3" borderId="12" xfId="0" applyNumberFormat="1" applyFont="1" applyFill="1" applyBorder="1" applyAlignment="1">
      <alignment horizontal="center" vertical="center"/>
    </xf>
    <xf numFmtId="2" fontId="47" fillId="3" borderId="51" xfId="0" applyNumberFormat="1" applyFont="1" applyFill="1" applyBorder="1" applyAlignment="1">
      <alignment horizontal="center" vertical="center"/>
    </xf>
    <xf numFmtId="3" fontId="47" fillId="3" borderId="82" xfId="0" applyNumberFormat="1" applyFont="1" applyFill="1" applyBorder="1" applyAlignment="1">
      <alignment horizontal="center" vertical="center"/>
    </xf>
    <xf numFmtId="2" fontId="47" fillId="2" borderId="51" xfId="0" applyNumberFormat="1" applyFont="1" applyFill="1" applyBorder="1" applyAlignment="1">
      <alignment horizontal="center" vertical="center"/>
    </xf>
    <xf numFmtId="3" fontId="47" fillId="2" borderId="12" xfId="0" applyNumberFormat="1" applyFont="1" applyFill="1" applyBorder="1" applyAlignment="1">
      <alignment horizontal="center" vertical="center"/>
    </xf>
    <xf numFmtId="3" fontId="47" fillId="2" borderId="82" xfId="0" applyNumberFormat="1" applyFont="1" applyFill="1" applyBorder="1" applyAlignment="1">
      <alignment horizontal="center" vertical="center"/>
    </xf>
    <xf numFmtId="171" fontId="47" fillId="2" borderId="12" xfId="1" applyNumberFormat="1" applyFont="1" applyFill="1" applyBorder="1" applyAlignment="1">
      <alignment horizontal="center" vertical="center"/>
    </xf>
    <xf numFmtId="171" fontId="47" fillId="2" borderId="51" xfId="1" applyNumberFormat="1" applyFont="1" applyFill="1" applyBorder="1" applyAlignment="1">
      <alignment horizontal="center" vertical="center"/>
    </xf>
    <xf numFmtId="171" fontId="47" fillId="2" borderId="11" xfId="1" applyNumberFormat="1" applyFont="1" applyFill="1" applyBorder="1" applyAlignment="1">
      <alignment horizontal="center" vertical="center"/>
    </xf>
    <xf numFmtId="171" fontId="47" fillId="0" borderId="51" xfId="1" applyNumberFormat="1" applyFont="1" applyFill="1" applyBorder="1" applyAlignment="1">
      <alignment horizontal="center" vertical="center"/>
    </xf>
    <xf numFmtId="171" fontId="47" fillId="0" borderId="11" xfId="1" applyNumberFormat="1" applyFont="1" applyFill="1" applyBorder="1" applyAlignment="1">
      <alignment horizontal="center" vertical="center"/>
    </xf>
    <xf numFmtId="171" fontId="47" fillId="0" borderId="12" xfId="1" applyNumberFormat="1" applyFont="1" applyFill="1" applyBorder="1" applyAlignment="1">
      <alignment horizontal="center" vertical="center"/>
    </xf>
    <xf numFmtId="40" fontId="47" fillId="4" borderId="52" xfId="0" applyNumberFormat="1" applyFont="1" applyFill="1" applyBorder="1" applyAlignment="1">
      <alignment horizontal="center" vertical="center"/>
    </xf>
    <xf numFmtId="3" fontId="47" fillId="4" borderId="83" xfId="0" applyNumberFormat="1" applyFont="1" applyFill="1" applyBorder="1" applyAlignment="1">
      <alignment horizontal="center" vertical="center"/>
    </xf>
    <xf numFmtId="2" fontId="47" fillId="4" borderId="52" xfId="0" applyNumberFormat="1" applyFont="1" applyFill="1" applyBorder="1" applyAlignment="1">
      <alignment horizontal="center" vertical="center"/>
    </xf>
    <xf numFmtId="3" fontId="47" fillId="4" borderId="84" xfId="0" applyNumberFormat="1" applyFont="1" applyFill="1" applyBorder="1" applyAlignment="1">
      <alignment horizontal="center" vertical="center"/>
    </xf>
    <xf numFmtId="40" fontId="47" fillId="3" borderId="52" xfId="0" applyNumberFormat="1" applyFont="1" applyFill="1" applyBorder="1" applyAlignment="1">
      <alignment horizontal="center" vertical="center"/>
    </xf>
    <xf numFmtId="3" fontId="47" fillId="3" borderId="83" xfId="0" applyNumberFormat="1" applyFont="1" applyFill="1" applyBorder="1" applyAlignment="1">
      <alignment horizontal="center" vertical="center"/>
    </xf>
    <xf numFmtId="2" fontId="47" fillId="3" borderId="52" xfId="0" applyNumberFormat="1" applyFont="1" applyFill="1" applyBorder="1" applyAlignment="1">
      <alignment horizontal="center" vertical="center"/>
    </xf>
    <xf numFmtId="3" fontId="47" fillId="3" borderId="84" xfId="0" applyNumberFormat="1" applyFont="1" applyFill="1" applyBorder="1" applyAlignment="1">
      <alignment horizontal="center" vertical="center"/>
    </xf>
    <xf numFmtId="2" fontId="47" fillId="2" borderId="52" xfId="0" applyNumberFormat="1" applyFont="1" applyFill="1" applyBorder="1" applyAlignment="1">
      <alignment horizontal="center" vertical="center"/>
    </xf>
    <xf numFmtId="3" fontId="47" fillId="2" borderId="83" xfId="0" applyNumberFormat="1" applyFont="1" applyFill="1" applyBorder="1" applyAlignment="1">
      <alignment horizontal="center" vertical="center"/>
    </xf>
    <xf numFmtId="3" fontId="47" fillId="2" borderId="84" xfId="0" applyNumberFormat="1" applyFont="1" applyFill="1" applyBorder="1" applyAlignment="1">
      <alignment horizontal="center" vertical="center"/>
    </xf>
    <xf numFmtId="171" fontId="47" fillId="2" borderId="83" xfId="1" applyNumberFormat="1" applyFont="1" applyFill="1" applyBorder="1" applyAlignment="1">
      <alignment horizontal="center" vertical="center"/>
    </xf>
    <xf numFmtId="0" fontId="47" fillId="0" borderId="85" xfId="0" applyFont="1" applyFill="1" applyBorder="1" applyAlignment="1">
      <alignment vertical="center" wrapText="1"/>
    </xf>
    <xf numFmtId="171" fontId="47" fillId="2" borderId="52" xfId="1" applyNumberFormat="1" applyFont="1" applyFill="1" applyBorder="1" applyAlignment="1">
      <alignment horizontal="center" vertical="center"/>
    </xf>
    <xf numFmtId="171" fontId="47" fillId="2" borderId="86" xfId="1" applyNumberFormat="1" applyFont="1" applyFill="1" applyBorder="1" applyAlignment="1">
      <alignment horizontal="center" vertical="center"/>
    </xf>
    <xf numFmtId="171" fontId="47" fillId="0" borderId="52" xfId="1" applyNumberFormat="1" applyFont="1" applyFill="1" applyBorder="1" applyAlignment="1">
      <alignment horizontal="center" vertical="center"/>
    </xf>
    <xf numFmtId="171" fontId="47" fillId="0" borderId="86" xfId="1" applyNumberFormat="1" applyFont="1" applyFill="1" applyBorder="1" applyAlignment="1">
      <alignment horizontal="center" vertical="center"/>
    </xf>
    <xf numFmtId="171" fontId="47" fillId="0" borderId="83" xfId="1" applyNumberFormat="1" applyFont="1" applyFill="1" applyBorder="1" applyAlignment="1">
      <alignment horizontal="center" vertical="center"/>
    </xf>
    <xf numFmtId="40" fontId="47" fillId="4" borderId="87" xfId="0" applyNumberFormat="1" applyFont="1" applyFill="1" applyBorder="1" applyAlignment="1">
      <alignment horizontal="center" vertical="center"/>
    </xf>
    <xf numFmtId="3" fontId="47" fillId="4" borderId="88" xfId="0" applyNumberFormat="1" applyFont="1" applyFill="1" applyBorder="1" applyAlignment="1">
      <alignment horizontal="center" vertical="center"/>
    </xf>
    <xf numFmtId="2" fontId="47" fillId="4" borderId="87" xfId="0" applyNumberFormat="1" applyFont="1" applyFill="1" applyBorder="1" applyAlignment="1">
      <alignment horizontal="center" vertical="center"/>
    </xf>
    <xf numFmtId="3" fontId="47" fillId="4" borderId="89" xfId="0" applyNumberFormat="1" applyFont="1" applyFill="1" applyBorder="1" applyAlignment="1">
      <alignment horizontal="center" vertical="center"/>
    </xf>
    <xf numFmtId="40" fontId="47" fillId="3" borderId="87" xfId="0" applyNumberFormat="1" applyFont="1" applyFill="1" applyBorder="1" applyAlignment="1">
      <alignment horizontal="center" vertical="center"/>
    </xf>
    <xf numFmtId="3" fontId="47" fillId="3" borderId="88" xfId="0" applyNumberFormat="1" applyFont="1" applyFill="1" applyBorder="1" applyAlignment="1">
      <alignment horizontal="center" vertical="center"/>
    </xf>
    <xf numFmtId="2" fontId="47" fillId="3" borderId="87" xfId="0" applyNumberFormat="1" applyFont="1" applyFill="1" applyBorder="1" applyAlignment="1">
      <alignment horizontal="center" vertical="center"/>
    </xf>
    <xf numFmtId="3" fontId="47" fillId="3" borderId="89" xfId="0" applyNumberFormat="1" applyFont="1" applyFill="1" applyBorder="1" applyAlignment="1">
      <alignment horizontal="center" vertical="center"/>
    </xf>
    <xf numFmtId="2" fontId="47" fillId="2" borderId="87" xfId="0" applyNumberFormat="1" applyFont="1" applyFill="1" applyBorder="1" applyAlignment="1">
      <alignment horizontal="center" vertical="center"/>
    </xf>
    <xf numFmtId="3" fontId="47" fillId="2" borderId="88" xfId="0" applyNumberFormat="1" applyFont="1" applyFill="1" applyBorder="1" applyAlignment="1">
      <alignment horizontal="center" vertical="center"/>
    </xf>
    <xf numFmtId="3" fontId="47" fillId="2" borderId="89" xfId="0" applyNumberFormat="1" applyFont="1" applyFill="1" applyBorder="1" applyAlignment="1">
      <alignment horizontal="center" vertical="center"/>
    </xf>
    <xf numFmtId="171" fontId="47" fillId="2" borderId="88" xfId="1" applyNumberFormat="1" applyFont="1" applyFill="1" applyBorder="1" applyAlignment="1">
      <alignment horizontal="center" vertical="center"/>
    </xf>
    <xf numFmtId="171" fontId="47" fillId="2" borderId="87" xfId="1" applyNumberFormat="1" applyFont="1" applyFill="1" applyBorder="1" applyAlignment="1">
      <alignment horizontal="center" vertical="center"/>
    </xf>
    <xf numFmtId="171" fontId="47" fillId="2" borderId="90" xfId="1" applyNumberFormat="1" applyFont="1" applyFill="1" applyBorder="1" applyAlignment="1">
      <alignment horizontal="center" vertical="center"/>
    </xf>
    <xf numFmtId="171" fontId="47" fillId="0" borderId="87" xfId="1" applyNumberFormat="1" applyFont="1" applyFill="1" applyBorder="1" applyAlignment="1">
      <alignment horizontal="center" vertical="center"/>
    </xf>
    <xf numFmtId="171" fontId="47" fillId="0" borderId="90" xfId="1" applyNumberFormat="1" applyFont="1" applyFill="1" applyBorder="1" applyAlignment="1">
      <alignment horizontal="center" vertical="center"/>
    </xf>
    <xf numFmtId="171" fontId="47" fillId="0" borderId="88" xfId="1" applyNumberFormat="1" applyFont="1" applyFill="1" applyBorder="1" applyAlignment="1">
      <alignment horizontal="center" vertical="center"/>
    </xf>
    <xf numFmtId="0" fontId="47" fillId="2" borderId="91" xfId="0" applyFont="1" applyFill="1" applyBorder="1" applyAlignment="1">
      <alignment vertical="center" wrapText="1"/>
    </xf>
    <xf numFmtId="0" fontId="47" fillId="2" borderId="92" xfId="0" applyFont="1" applyFill="1" applyBorder="1" applyAlignment="1">
      <alignment vertical="center" wrapText="1"/>
    </xf>
    <xf numFmtId="0" fontId="47" fillId="2" borderId="93" xfId="0" applyFont="1" applyFill="1" applyBorder="1" applyAlignment="1">
      <alignment vertical="center" wrapText="1"/>
    </xf>
    <xf numFmtId="0" fontId="47" fillId="2" borderId="94" xfId="0" applyFont="1" applyFill="1" applyBorder="1" applyAlignment="1">
      <alignment vertical="center" wrapText="1"/>
    </xf>
    <xf numFmtId="0" fontId="47" fillId="2" borderId="95" xfId="0" applyFont="1" applyFill="1" applyBorder="1" applyAlignment="1">
      <alignment vertical="center" wrapText="1"/>
    </xf>
    <xf numFmtId="0" fontId="47" fillId="2" borderId="85" xfId="0" applyFont="1" applyFill="1" applyBorder="1" applyAlignment="1">
      <alignment vertical="center" wrapText="1"/>
    </xf>
    <xf numFmtId="0" fontId="47" fillId="2" borderId="96" xfId="0" applyFont="1" applyFill="1" applyBorder="1" applyAlignment="1">
      <alignment vertical="center" wrapText="1"/>
    </xf>
    <xf numFmtId="0" fontId="47" fillId="2" borderId="67" xfId="0" applyFont="1" applyFill="1" applyBorder="1" applyAlignment="1">
      <alignment vertical="center" wrapText="1"/>
    </xf>
    <xf numFmtId="0" fontId="47" fillId="0" borderId="49" xfId="0" applyFont="1" applyFill="1" applyBorder="1" applyAlignment="1">
      <alignment horizontal="center" vertical="center"/>
    </xf>
    <xf numFmtId="3" fontId="47" fillId="0" borderId="32" xfId="0" applyNumberFormat="1" applyFont="1" applyFill="1" applyBorder="1" applyAlignment="1">
      <alignment horizontal="center" vertical="center"/>
    </xf>
    <xf numFmtId="38" fontId="47" fillId="0" borderId="97" xfId="0" applyNumberFormat="1" applyFont="1" applyFill="1" applyBorder="1" applyAlignment="1">
      <alignment horizontal="center" vertical="center"/>
    </xf>
    <xf numFmtId="38" fontId="47" fillId="0" borderId="60" xfId="0" applyNumberFormat="1" applyFont="1" applyBorder="1" applyAlignment="1">
      <alignment horizontal="center" vertical="center"/>
    </xf>
    <xf numFmtId="0" fontId="50" fillId="0" borderId="0" xfId="0" applyFont="1" applyBorder="1" applyAlignment="1">
      <alignment horizontal="center" vertical="center"/>
    </xf>
    <xf numFmtId="0" fontId="47" fillId="0" borderId="5" xfId="0" applyFont="1" applyBorder="1" applyAlignment="1">
      <alignment vertical="center"/>
    </xf>
    <xf numFmtId="0" fontId="50" fillId="0" borderId="5" xfId="0" applyFont="1" applyBorder="1" applyAlignment="1">
      <alignment horizontal="center" vertical="center"/>
    </xf>
    <xf numFmtId="0" fontId="47" fillId="0" borderId="67" xfId="0" applyFont="1" applyBorder="1" applyAlignment="1">
      <alignment vertical="center"/>
    </xf>
    <xf numFmtId="38" fontId="47" fillId="0" borderId="0" xfId="0" applyNumberFormat="1" applyFont="1" applyBorder="1" applyAlignment="1">
      <alignment horizontal="center" vertical="center"/>
    </xf>
    <xf numFmtId="0" fontId="47" fillId="8" borderId="67" xfId="0" applyFont="1" applyFill="1" applyBorder="1" applyAlignment="1">
      <alignment horizontal="center" vertical="center" wrapText="1"/>
    </xf>
    <xf numFmtId="2" fontId="47" fillId="8" borderId="76" xfId="0" applyNumberFormat="1" applyFont="1" applyFill="1" applyBorder="1" applyAlignment="1">
      <alignment horizontal="center" vertical="center"/>
    </xf>
    <xf numFmtId="2" fontId="47" fillId="8" borderId="78" xfId="0" applyNumberFormat="1" applyFont="1" applyFill="1" applyBorder="1" applyAlignment="1">
      <alignment horizontal="center" vertical="center"/>
    </xf>
    <xf numFmtId="172" fontId="52" fillId="4" borderId="69" xfId="0" applyNumberFormat="1" applyFont="1" applyFill="1" applyBorder="1" applyAlignment="1">
      <alignment horizontal="center" vertical="center"/>
    </xf>
    <xf numFmtId="172" fontId="52" fillId="4" borderId="17" xfId="0" applyNumberFormat="1" applyFont="1" applyFill="1" applyBorder="1" applyAlignment="1">
      <alignment horizontal="center" vertical="center"/>
    </xf>
    <xf numFmtId="172" fontId="52" fillId="4" borderId="37" xfId="0" applyNumberFormat="1" applyFont="1" applyFill="1" applyBorder="1" applyAlignment="1">
      <alignment horizontal="center" vertical="center"/>
    </xf>
    <xf numFmtId="172" fontId="52" fillId="4" borderId="26" xfId="0" applyNumberFormat="1" applyFont="1" applyFill="1" applyBorder="1" applyAlignment="1">
      <alignment horizontal="center" vertical="center"/>
    </xf>
    <xf numFmtId="172" fontId="52" fillId="4" borderId="51" xfId="0" applyNumberFormat="1" applyFont="1" applyFill="1" applyBorder="1" applyAlignment="1">
      <alignment horizontal="center" vertical="center"/>
    </xf>
    <xf numFmtId="172" fontId="52" fillId="4" borderId="52" xfId="0" applyNumberFormat="1" applyFont="1" applyFill="1" applyBorder="1" applyAlignment="1">
      <alignment horizontal="center" vertical="center"/>
    </xf>
    <xf numFmtId="172" fontId="52" fillId="4" borderId="87" xfId="0" applyNumberFormat="1" applyFont="1" applyFill="1" applyBorder="1" applyAlignment="1">
      <alignment horizontal="center" vertical="center"/>
    </xf>
    <xf numFmtId="172" fontId="52" fillId="4" borderId="6" xfId="0" applyNumberFormat="1" applyFont="1" applyFill="1" applyBorder="1" applyAlignment="1">
      <alignment horizontal="center" vertical="center"/>
    </xf>
    <xf numFmtId="169" fontId="52" fillId="4" borderId="31" xfId="1" applyNumberFormat="1" applyFont="1" applyFill="1" applyBorder="1" applyAlignment="1">
      <alignment horizontal="center" vertical="center"/>
    </xf>
    <xf numFmtId="169" fontId="52" fillId="4" borderId="19" xfId="1" applyNumberFormat="1" applyFont="1" applyFill="1" applyBorder="1" applyAlignment="1">
      <alignment horizontal="center" vertical="center"/>
    </xf>
    <xf numFmtId="169" fontId="52" fillId="4" borderId="39" xfId="1" applyNumberFormat="1" applyFont="1" applyFill="1" applyBorder="1" applyAlignment="1">
      <alignment horizontal="center" vertical="center"/>
    </xf>
    <xf numFmtId="169" fontId="52" fillId="4" borderId="28" xfId="1" applyNumberFormat="1" applyFont="1" applyFill="1" applyBorder="1" applyAlignment="1">
      <alignment horizontal="center" vertical="center"/>
    </xf>
    <xf numFmtId="169" fontId="52" fillId="4" borderId="12" xfId="1" applyNumberFormat="1" applyFont="1" applyFill="1" applyBorder="1" applyAlignment="1">
      <alignment horizontal="center" vertical="center"/>
    </xf>
    <xf numFmtId="169" fontId="52" fillId="4" borderId="83" xfId="1" applyNumberFormat="1" applyFont="1" applyFill="1" applyBorder="1" applyAlignment="1">
      <alignment horizontal="center" vertical="center"/>
    </xf>
    <xf numFmtId="169" fontId="52" fillId="4" borderId="88" xfId="1" applyNumberFormat="1" applyFont="1" applyFill="1" applyBorder="1" applyAlignment="1">
      <alignment horizontal="center" vertical="center"/>
    </xf>
    <xf numFmtId="169" fontId="52" fillId="4" borderId="16" xfId="1" applyNumberFormat="1" applyFont="1" applyFill="1" applyBorder="1" applyAlignment="1">
      <alignment horizontal="center" vertical="center"/>
    </xf>
    <xf numFmtId="172" fontId="47" fillId="3" borderId="69" xfId="0" applyNumberFormat="1" applyFont="1" applyFill="1" applyBorder="1" applyAlignment="1">
      <alignment horizontal="center" vertical="center"/>
    </xf>
    <xf numFmtId="172" fontId="47" fillId="3" borderId="17" xfId="0" applyNumberFormat="1" applyFont="1" applyFill="1" applyBorder="1" applyAlignment="1">
      <alignment horizontal="center" vertical="center"/>
    </xf>
    <xf numFmtId="172" fontId="47" fillId="3" borderId="37" xfId="0" applyNumberFormat="1" applyFont="1" applyFill="1" applyBorder="1" applyAlignment="1">
      <alignment horizontal="center" vertical="center"/>
    </xf>
    <xf numFmtId="172" fontId="47" fillId="3" borderId="26" xfId="0" applyNumberFormat="1" applyFont="1" applyFill="1" applyBorder="1" applyAlignment="1">
      <alignment horizontal="center" vertical="center"/>
    </xf>
    <xf numFmtId="172" fontId="47" fillId="3" borderId="51" xfId="0" applyNumberFormat="1" applyFont="1" applyFill="1" applyBorder="1" applyAlignment="1">
      <alignment horizontal="center" vertical="center"/>
    </xf>
    <xf numFmtId="172" fontId="47" fillId="3" borderId="52" xfId="0" applyNumberFormat="1" applyFont="1" applyFill="1" applyBorder="1" applyAlignment="1">
      <alignment horizontal="center" vertical="center"/>
    </xf>
    <xf numFmtId="172" fontId="47" fillId="3" borderId="87" xfId="0" applyNumberFormat="1" applyFont="1" applyFill="1" applyBorder="1" applyAlignment="1">
      <alignment horizontal="center" vertical="center"/>
    </xf>
    <xf numFmtId="172" fontId="47" fillId="3" borderId="6" xfId="0" applyNumberFormat="1" applyFont="1" applyFill="1" applyBorder="1" applyAlignment="1">
      <alignment horizontal="center" vertical="center"/>
    </xf>
    <xf numFmtId="169" fontId="47" fillId="3" borderId="31" xfId="1" applyNumberFormat="1" applyFont="1" applyFill="1" applyBorder="1" applyAlignment="1">
      <alignment horizontal="center" vertical="center"/>
    </xf>
    <xf numFmtId="169" fontId="47" fillId="3" borderId="19" xfId="1" applyNumberFormat="1" applyFont="1" applyFill="1" applyBorder="1" applyAlignment="1">
      <alignment horizontal="center" vertical="center"/>
    </xf>
    <xf numFmtId="169" fontId="47" fillId="3" borderId="39" xfId="1" applyNumberFormat="1" applyFont="1" applyFill="1" applyBorder="1" applyAlignment="1">
      <alignment horizontal="center" vertical="center"/>
    </xf>
    <xf numFmtId="169" fontId="47" fillId="3" borderId="28" xfId="1" applyNumberFormat="1" applyFont="1" applyFill="1" applyBorder="1" applyAlignment="1">
      <alignment horizontal="center" vertical="center"/>
    </xf>
    <xf numFmtId="169" fontId="47" fillId="3" borderId="12" xfId="1" applyNumberFormat="1" applyFont="1" applyFill="1" applyBorder="1" applyAlignment="1">
      <alignment horizontal="center" vertical="center"/>
    </xf>
    <xf numFmtId="169" fontId="47" fillId="3" borderId="83" xfId="1" applyNumberFormat="1" applyFont="1" applyFill="1" applyBorder="1" applyAlignment="1">
      <alignment horizontal="center" vertical="center"/>
    </xf>
    <xf numFmtId="169" fontId="47" fillId="3" borderId="88" xfId="1" applyNumberFormat="1" applyFont="1" applyFill="1" applyBorder="1" applyAlignment="1">
      <alignment horizontal="center" vertical="center"/>
    </xf>
    <xf numFmtId="169" fontId="47" fillId="3" borderId="16" xfId="1" applyNumberFormat="1" applyFont="1" applyFill="1" applyBorder="1" applyAlignment="1">
      <alignment horizontal="center" vertical="center"/>
    </xf>
    <xf numFmtId="172" fontId="47" fillId="2" borderId="69" xfId="0" applyNumberFormat="1" applyFont="1" applyFill="1" applyBorder="1" applyAlignment="1">
      <alignment horizontal="center" vertical="center"/>
    </xf>
    <xf numFmtId="172" fontId="47" fillId="2" borderId="17" xfId="0" applyNumberFormat="1" applyFont="1" applyFill="1" applyBorder="1" applyAlignment="1">
      <alignment horizontal="center" vertical="center"/>
    </xf>
    <xf numFmtId="172" fontId="47" fillId="2" borderId="37" xfId="0" applyNumberFormat="1" applyFont="1" applyFill="1" applyBorder="1" applyAlignment="1">
      <alignment horizontal="center" vertical="center"/>
    </xf>
    <xf numFmtId="172" fontId="47" fillId="2" borderId="26" xfId="0" applyNumberFormat="1" applyFont="1" applyFill="1" applyBorder="1" applyAlignment="1">
      <alignment horizontal="center" vertical="center"/>
    </xf>
    <xf numFmtId="172" fontId="47" fillId="2" borderId="51" xfId="0" applyNumberFormat="1" applyFont="1" applyFill="1" applyBorder="1" applyAlignment="1">
      <alignment horizontal="center" vertical="center"/>
    </xf>
    <xf numFmtId="172" fontId="47" fillId="2" borderId="52" xfId="0" applyNumberFormat="1" applyFont="1" applyFill="1" applyBorder="1" applyAlignment="1">
      <alignment horizontal="center" vertical="center"/>
    </xf>
    <xf numFmtId="172" fontId="47" fillId="2" borderId="87" xfId="0" applyNumberFormat="1" applyFont="1" applyFill="1" applyBorder="1" applyAlignment="1">
      <alignment horizontal="center" vertical="center"/>
    </xf>
    <xf numFmtId="172" fontId="47" fillId="2" borderId="6" xfId="0" applyNumberFormat="1" applyFont="1" applyFill="1" applyBorder="1" applyAlignment="1">
      <alignment horizontal="center" vertical="center"/>
    </xf>
    <xf numFmtId="169" fontId="47" fillId="2" borderId="31" xfId="1" applyNumberFormat="1" applyFont="1" applyFill="1" applyBorder="1" applyAlignment="1">
      <alignment horizontal="center" vertical="center"/>
    </xf>
    <xf numFmtId="169" fontId="47" fillId="2" borderId="19" xfId="1" applyNumberFormat="1" applyFont="1" applyFill="1" applyBorder="1" applyAlignment="1">
      <alignment horizontal="center" vertical="center"/>
    </xf>
    <xf numFmtId="169" fontId="47" fillId="2" borderId="39" xfId="1" applyNumberFormat="1" applyFont="1" applyFill="1" applyBorder="1" applyAlignment="1">
      <alignment horizontal="center" vertical="center"/>
    </xf>
    <xf numFmtId="169" fontId="47" fillId="2" borderId="28" xfId="1" applyNumberFormat="1" applyFont="1" applyFill="1" applyBorder="1" applyAlignment="1">
      <alignment horizontal="center" vertical="center"/>
    </xf>
    <xf numFmtId="169" fontId="47" fillId="2" borderId="12" xfId="1" applyNumberFormat="1" applyFont="1" applyFill="1" applyBorder="1" applyAlignment="1">
      <alignment horizontal="center" vertical="center"/>
    </xf>
    <xf numFmtId="169" fontId="47" fillId="2" borderId="83" xfId="1" applyNumberFormat="1" applyFont="1" applyFill="1" applyBorder="1" applyAlignment="1">
      <alignment horizontal="center" vertical="center"/>
    </xf>
    <xf numFmtId="169" fontId="47" fillId="2" borderId="88" xfId="1" applyNumberFormat="1" applyFont="1" applyFill="1" applyBorder="1" applyAlignment="1">
      <alignment horizontal="center" vertical="center"/>
    </xf>
    <xf numFmtId="169" fontId="47" fillId="2" borderId="16" xfId="1" applyNumberFormat="1" applyFont="1" applyFill="1" applyBorder="1" applyAlignment="1">
      <alignment horizontal="center" vertical="center"/>
    </xf>
    <xf numFmtId="0" fontId="47" fillId="8" borderId="77" xfId="0" applyFont="1" applyFill="1" applyBorder="1" applyAlignment="1">
      <alignment horizontal="center" vertical="center"/>
    </xf>
    <xf numFmtId="0" fontId="47" fillId="8" borderId="76" xfId="0" applyFont="1" applyFill="1" applyBorder="1" applyAlignment="1">
      <alignment horizontal="center" vertical="center"/>
    </xf>
    <xf numFmtId="0" fontId="47" fillId="8" borderId="78" xfId="0" applyFont="1" applyFill="1" applyBorder="1" applyAlignment="1">
      <alignment horizontal="center" vertical="center"/>
    </xf>
    <xf numFmtId="0" fontId="67" fillId="0" borderId="0" xfId="0" applyFont="1" applyAlignment="1">
      <alignment vertical="center"/>
    </xf>
    <xf numFmtId="0" fontId="52" fillId="0" borderId="76" xfId="0" applyFont="1" applyBorder="1" applyAlignment="1">
      <alignment horizontal="center" vertical="center"/>
    </xf>
    <xf numFmtId="0" fontId="53" fillId="0" borderId="41" xfId="0" applyFont="1" applyBorder="1"/>
    <xf numFmtId="0" fontId="52" fillId="0" borderId="59" xfId="0" applyFont="1" applyBorder="1" applyAlignment="1">
      <alignment horizontal="center" vertical="center"/>
    </xf>
    <xf numFmtId="0" fontId="53" fillId="0" borderId="0" xfId="0" applyFont="1"/>
    <xf numFmtId="0" fontId="52" fillId="0" borderId="67" xfId="0" applyFont="1" applyBorder="1" applyAlignment="1">
      <alignment horizontal="center" vertical="center"/>
    </xf>
    <xf numFmtId="3" fontId="52" fillId="0" borderId="70" xfId="0" applyNumberFormat="1" applyFont="1" applyFill="1"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0" fontId="47" fillId="0" borderId="1" xfId="0" applyFont="1" applyBorder="1" applyAlignment="1">
      <alignment horizontal="center" vertical="center"/>
    </xf>
    <xf numFmtId="0" fontId="47" fillId="0" borderId="2" xfId="0" applyFont="1" applyBorder="1" applyAlignment="1">
      <alignment horizontal="center" vertical="center"/>
    </xf>
    <xf numFmtId="0" fontId="47" fillId="0" borderId="43" xfId="0" applyFont="1" applyBorder="1" applyAlignment="1">
      <alignment horizontal="center" vertical="center"/>
    </xf>
    <xf numFmtId="0" fontId="68" fillId="0" borderId="0" xfId="0" applyFont="1" applyBorder="1" applyAlignment="1">
      <alignment horizontal="center"/>
    </xf>
    <xf numFmtId="0" fontId="47" fillId="0" borderId="91" xfId="0" applyFont="1" applyFill="1" applyBorder="1" applyAlignment="1">
      <alignment vertical="center" wrapText="1"/>
    </xf>
    <xf numFmtId="0" fontId="47" fillId="0" borderId="92" xfId="0" applyFont="1" applyFill="1" applyBorder="1" applyAlignment="1">
      <alignment vertical="center" wrapText="1"/>
    </xf>
    <xf numFmtId="0" fontId="47" fillId="0" borderId="94" xfId="0" applyFont="1" applyFill="1" applyBorder="1" applyAlignment="1">
      <alignment vertical="center" wrapText="1"/>
    </xf>
    <xf numFmtId="0" fontId="47" fillId="0" borderId="93" xfId="0" applyFont="1" applyFill="1" applyBorder="1" applyAlignment="1">
      <alignment vertical="center" wrapText="1"/>
    </xf>
    <xf numFmtId="0" fontId="47" fillId="0" borderId="2" xfId="0" quotePrefix="1" applyFont="1" applyFill="1" applyBorder="1" applyAlignment="1">
      <alignment horizontal="center" vertical="center"/>
    </xf>
    <xf numFmtId="0" fontId="47" fillId="7" borderId="2" xfId="0" applyFont="1" applyFill="1" applyBorder="1" applyAlignment="1">
      <alignment horizontal="center" vertical="center"/>
    </xf>
    <xf numFmtId="0" fontId="0" fillId="7" borderId="2" xfId="0" applyFill="1" applyBorder="1" applyAlignment="1">
      <alignment horizontal="center" vertical="center"/>
    </xf>
    <xf numFmtId="0" fontId="47" fillId="0" borderId="0" xfId="0" applyFont="1" applyFill="1" applyBorder="1" applyAlignment="1">
      <alignment horizontal="left" vertical="center" wrapText="1" indent="1"/>
    </xf>
    <xf numFmtId="0" fontId="0" fillId="0" borderId="142" xfId="0" applyBorder="1" applyAlignment="1">
      <alignment vertical="center" wrapText="1"/>
    </xf>
    <xf numFmtId="0" fontId="47" fillId="0" borderId="23" xfId="0" applyFont="1" applyFill="1" applyBorder="1" applyAlignment="1">
      <alignment horizontal="center" vertical="center"/>
    </xf>
    <xf numFmtId="0" fontId="47" fillId="0" borderId="24" xfId="0" applyFont="1" applyFill="1" applyBorder="1" applyAlignment="1">
      <alignment vertical="center"/>
    </xf>
    <xf numFmtId="0" fontId="47" fillId="0" borderId="24" xfId="0" applyFont="1" applyFill="1" applyBorder="1" applyAlignment="1">
      <alignment horizontal="center" vertical="center"/>
    </xf>
    <xf numFmtId="0" fontId="47" fillId="0" borderId="25" xfId="0" applyFont="1" applyFill="1" applyBorder="1" applyAlignment="1">
      <alignment horizontal="center" vertical="center"/>
    </xf>
    <xf numFmtId="0" fontId="52" fillId="0" borderId="19" xfId="0" applyFont="1" applyBorder="1" applyAlignment="1">
      <alignment horizontal="center" vertical="center"/>
    </xf>
    <xf numFmtId="0" fontId="53" fillId="0" borderId="21" xfId="0" applyFont="1" applyBorder="1" applyAlignment="1">
      <alignment horizontal="center" vertical="center"/>
    </xf>
    <xf numFmtId="0" fontId="53" fillId="0" borderId="22" xfId="0" applyFont="1" applyBorder="1" applyAlignment="1">
      <alignment horizontal="center" vertical="center"/>
    </xf>
    <xf numFmtId="0" fontId="52" fillId="0" borderId="24" xfId="0" applyFont="1" applyBorder="1" applyAlignment="1">
      <alignment horizontal="center" vertical="center"/>
    </xf>
    <xf numFmtId="0" fontId="52" fillId="0" borderId="25" xfId="0" applyFont="1" applyBorder="1" applyAlignment="1">
      <alignment horizontal="center" vertical="center"/>
    </xf>
    <xf numFmtId="0" fontId="53" fillId="0" borderId="24" xfId="0" applyFont="1" applyBorder="1" applyAlignment="1">
      <alignment horizontal="center" vertical="center"/>
    </xf>
    <xf numFmtId="0" fontId="53" fillId="0" borderId="25" xfId="0" applyFont="1" applyBorder="1" applyAlignment="1">
      <alignment horizontal="center" vertical="center"/>
    </xf>
    <xf numFmtId="0" fontId="53" fillId="0" borderId="18" xfId="0" applyFont="1" applyBorder="1" applyAlignment="1">
      <alignment horizontal="center" vertical="center"/>
    </xf>
    <xf numFmtId="0" fontId="53" fillId="0" borderId="19" xfId="0" applyFont="1" applyBorder="1" applyAlignment="1">
      <alignment horizontal="center" vertical="center"/>
    </xf>
    <xf numFmtId="0" fontId="47" fillId="0" borderId="47" xfId="0" applyFont="1" applyFill="1" applyBorder="1" applyAlignment="1">
      <alignment vertical="center" wrapText="1"/>
    </xf>
    <xf numFmtId="0" fontId="65" fillId="0" borderId="10" xfId="0" applyFont="1" applyBorder="1" applyAlignment="1">
      <alignment horizontal="center" vertical="center" wrapText="1"/>
    </xf>
    <xf numFmtId="0" fontId="50" fillId="0" borderId="8" xfId="0" applyFont="1" applyFill="1" applyBorder="1" applyAlignment="1">
      <alignment vertical="center"/>
    </xf>
    <xf numFmtId="0" fontId="52" fillId="0" borderId="8" xfId="0" applyFont="1" applyFill="1" applyBorder="1" applyAlignment="1">
      <alignment vertical="center"/>
    </xf>
    <xf numFmtId="0" fontId="51" fillId="0" borderId="8" xfId="0" applyFont="1" applyFill="1" applyBorder="1" applyAlignment="1">
      <alignment vertical="center"/>
    </xf>
    <xf numFmtId="165" fontId="0" fillId="0" borderId="19" xfId="0" applyNumberFormat="1" applyFill="1" applyBorder="1" applyAlignment="1">
      <alignment horizontal="center" vertical="center"/>
    </xf>
    <xf numFmtId="0" fontId="47" fillId="0" borderId="61" xfId="0" applyFont="1" applyBorder="1" applyAlignment="1">
      <alignment horizontal="center" vertical="center"/>
    </xf>
    <xf numFmtId="0" fontId="50" fillId="0" borderId="65" xfId="0" applyFont="1" applyFill="1" applyBorder="1" applyAlignment="1">
      <alignment vertical="center"/>
    </xf>
    <xf numFmtId="0" fontId="52" fillId="0" borderId="58" xfId="0" applyFont="1" applyFill="1" applyBorder="1" applyAlignment="1">
      <alignment vertical="center"/>
    </xf>
    <xf numFmtId="165" fontId="53" fillId="0" borderId="32" xfId="0" applyNumberFormat="1" applyFont="1" applyBorder="1" applyAlignment="1">
      <alignment horizontal="center" vertical="center"/>
    </xf>
    <xf numFmtId="0" fontId="52" fillId="0" borderId="58" xfId="0" applyFont="1" applyBorder="1" applyAlignment="1">
      <alignment vertical="center"/>
    </xf>
    <xf numFmtId="0" fontId="52" fillId="0" borderId="98" xfId="0" applyFont="1" applyBorder="1" applyAlignment="1">
      <alignment vertical="center"/>
    </xf>
    <xf numFmtId="165" fontId="53" fillId="0" borderId="44" xfId="0" applyNumberFormat="1" applyFont="1" applyBorder="1" applyAlignment="1">
      <alignment horizontal="center" vertical="center"/>
    </xf>
    <xf numFmtId="0" fontId="51" fillId="0" borderId="58" xfId="0" applyFont="1" applyBorder="1" applyAlignment="1">
      <alignment vertical="center"/>
    </xf>
    <xf numFmtId="165" fontId="55" fillId="0" borderId="32" xfId="0" applyNumberFormat="1" applyFont="1" applyBorder="1" applyAlignment="1">
      <alignment horizontal="center" vertical="center"/>
    </xf>
    <xf numFmtId="0" fontId="52" fillId="0" borderId="98" xfId="0" applyFont="1" applyFill="1" applyBorder="1" applyAlignment="1">
      <alignment vertical="center"/>
    </xf>
    <xf numFmtId="165" fontId="0" fillId="0" borderId="31" xfId="0" applyNumberFormat="1" applyFill="1" applyBorder="1" applyAlignment="1">
      <alignment horizontal="center" vertical="center"/>
    </xf>
    <xf numFmtId="165" fontId="53" fillId="0" borderId="30" xfId="0" applyNumberFormat="1" applyFont="1" applyBorder="1" applyAlignment="1">
      <alignment horizontal="center" vertical="center"/>
    </xf>
    <xf numFmtId="0" fontId="47" fillId="0" borderId="18" xfId="0" applyFont="1" applyBorder="1"/>
    <xf numFmtId="0" fontId="47" fillId="0" borderId="0" xfId="0" applyFont="1" applyFill="1" applyBorder="1" applyAlignment="1">
      <alignment horizontal="center" vertical="center" wrapText="1"/>
    </xf>
    <xf numFmtId="165" fontId="0" fillId="0" borderId="0" xfId="0" applyNumberFormat="1" applyFill="1" applyBorder="1" applyAlignment="1">
      <alignment horizontal="center" vertical="center"/>
    </xf>
    <xf numFmtId="0" fontId="0" fillId="0" borderId="99" xfId="0" applyFont="1" applyFill="1" applyBorder="1" applyAlignment="1">
      <alignment horizontal="left" vertical="center"/>
    </xf>
    <xf numFmtId="0" fontId="0" fillId="0" borderId="100" xfId="0" applyFont="1" applyFill="1" applyBorder="1" applyAlignment="1">
      <alignment horizontal="left" vertical="center"/>
    </xf>
    <xf numFmtId="0" fontId="0" fillId="0" borderId="99" xfId="0" applyFont="1" applyFill="1" applyBorder="1" applyAlignment="1">
      <alignment horizontal="left" vertical="center" wrapText="1"/>
    </xf>
    <xf numFmtId="0" fontId="0" fillId="0" borderId="99" xfId="0" applyFont="1" applyBorder="1"/>
    <xf numFmtId="0" fontId="0" fillId="0" borderId="100" xfId="0" applyFont="1" applyBorder="1"/>
    <xf numFmtId="0" fontId="0" fillId="0" borderId="101" xfId="0" applyFont="1" applyFill="1" applyBorder="1" applyAlignment="1">
      <alignment horizontal="left" vertical="center"/>
    </xf>
    <xf numFmtId="0" fontId="0" fillId="0" borderId="101" xfId="0" applyFont="1" applyBorder="1"/>
    <xf numFmtId="0" fontId="0" fillId="0" borderId="102" xfId="0" applyFont="1" applyBorder="1"/>
    <xf numFmtId="0" fontId="0" fillId="0" borderId="103" xfId="0" applyFont="1" applyFill="1" applyBorder="1" applyAlignment="1">
      <alignment horizontal="left" vertical="center"/>
    </xf>
    <xf numFmtId="0" fontId="0" fillId="0" borderId="104" xfId="0" applyFont="1" applyFill="1" applyBorder="1" applyAlignment="1">
      <alignment horizontal="left" vertical="center"/>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0" fillId="0" borderId="107" xfId="0" applyFont="1" applyFill="1" applyBorder="1" applyAlignment="1">
      <alignment horizontal="left" vertical="center"/>
    </xf>
    <xf numFmtId="1" fontId="0" fillId="0" borderId="33" xfId="0" applyNumberFormat="1" applyFill="1" applyBorder="1" applyAlignment="1">
      <alignment horizontal="center" vertical="center"/>
    </xf>
    <xf numFmtId="1" fontId="0" fillId="0" borderId="34" xfId="0" applyNumberFormat="1" applyBorder="1" applyAlignment="1">
      <alignment horizontal="center" vertical="center"/>
    </xf>
    <xf numFmtId="1" fontId="0" fillId="0" borderId="34" xfId="0" applyNumberFormat="1" applyFill="1" applyBorder="1" applyAlignment="1">
      <alignment horizontal="center" vertical="center"/>
    </xf>
    <xf numFmtId="1" fontId="0" fillId="0" borderId="18" xfId="0" applyNumberFormat="1" applyFill="1" applyBorder="1" applyAlignment="1">
      <alignment horizontal="center" vertical="center"/>
    </xf>
    <xf numFmtId="1" fontId="0" fillId="0" borderId="35" xfId="0" applyNumberFormat="1" applyFill="1" applyBorder="1" applyAlignment="1">
      <alignment horizontal="center" vertical="center"/>
    </xf>
    <xf numFmtId="1" fontId="0" fillId="0" borderId="30" xfId="0" applyNumberFormat="1" applyBorder="1" applyAlignment="1">
      <alignment horizontal="center" vertical="center"/>
    </xf>
    <xf numFmtId="1" fontId="0" fillId="0" borderId="18" xfId="0" applyNumberFormat="1" applyBorder="1" applyAlignment="1">
      <alignment horizontal="center" vertical="center"/>
    </xf>
    <xf numFmtId="1" fontId="53" fillId="0" borderId="30" xfId="0" applyNumberFormat="1" applyFont="1" applyBorder="1" applyAlignment="1">
      <alignment horizontal="center" vertical="center"/>
    </xf>
    <xf numFmtId="1" fontId="0" fillId="0" borderId="35" xfId="0" applyNumberFormat="1" applyBorder="1" applyAlignment="1">
      <alignment horizontal="center" vertical="center"/>
    </xf>
    <xf numFmtId="1" fontId="0" fillId="0" borderId="33" xfId="0" applyNumberFormat="1" applyBorder="1" applyAlignment="1">
      <alignment horizontal="center" vertical="center"/>
    </xf>
    <xf numFmtId="1" fontId="0" fillId="0" borderId="30" xfId="0" applyNumberFormat="1" applyFill="1" applyBorder="1" applyAlignment="1">
      <alignment horizontal="center" vertical="center"/>
    </xf>
    <xf numFmtId="1" fontId="0" fillId="0" borderId="27" xfId="0" applyNumberFormat="1" applyFill="1" applyBorder="1" applyAlignment="1">
      <alignment horizontal="center" vertical="center"/>
    </xf>
    <xf numFmtId="1" fontId="0" fillId="0" borderId="18" xfId="0" applyNumberFormat="1" applyBorder="1" applyAlignment="1">
      <alignment horizontal="center"/>
    </xf>
    <xf numFmtId="1" fontId="0" fillId="0" borderId="27" xfId="0" applyNumberFormat="1" applyBorder="1" applyAlignment="1">
      <alignment horizontal="center" vertical="center"/>
    </xf>
    <xf numFmtId="1" fontId="0" fillId="0" borderId="31" xfId="0" applyNumberFormat="1" applyFill="1" applyBorder="1" applyAlignment="1">
      <alignment horizontal="center" vertical="center"/>
    </xf>
    <xf numFmtId="1" fontId="0" fillId="0" borderId="19" xfId="0" applyNumberFormat="1" applyBorder="1" applyAlignment="1">
      <alignment horizontal="center" vertical="center"/>
    </xf>
    <xf numFmtId="1" fontId="0" fillId="0" borderId="19" xfId="0" applyNumberFormat="1" applyFill="1" applyBorder="1" applyAlignment="1">
      <alignment horizontal="center" vertical="center"/>
    </xf>
    <xf numFmtId="1" fontId="0" fillId="0" borderId="28" xfId="0" applyNumberFormat="1" applyFill="1" applyBorder="1" applyAlignment="1">
      <alignment horizontal="center" vertical="center"/>
    </xf>
    <xf numFmtId="1" fontId="0" fillId="0" borderId="28" xfId="0" applyNumberFormat="1" applyBorder="1" applyAlignment="1">
      <alignment horizontal="center" vertical="center"/>
    </xf>
    <xf numFmtId="1" fontId="0" fillId="0" borderId="31" xfId="0" applyNumberFormat="1" applyBorder="1" applyAlignment="1">
      <alignment horizontal="center" vertical="center"/>
    </xf>
    <xf numFmtId="0" fontId="69" fillId="0" borderId="59" xfId="0" applyFont="1" applyBorder="1" applyAlignment="1">
      <alignment horizontal="left" vertical="center" wrapText="1"/>
    </xf>
    <xf numFmtId="0" fontId="0" fillId="0" borderId="59" xfId="0" applyBorder="1" applyAlignment="1">
      <alignment horizontal="left" vertical="center" wrapText="1"/>
    </xf>
    <xf numFmtId="0" fontId="47" fillId="0" borderId="59" xfId="0" applyFont="1" applyFill="1" applyBorder="1" applyAlignment="1">
      <alignment horizontal="left" vertical="center" wrapText="1"/>
    </xf>
    <xf numFmtId="0" fontId="0" fillId="0" borderId="59" xfId="0" applyFill="1" applyBorder="1" applyAlignment="1">
      <alignment horizontal="left" vertical="center" wrapText="1"/>
    </xf>
    <xf numFmtId="0" fontId="47" fillId="0" borderId="59" xfId="0" applyFont="1" applyBorder="1" applyAlignment="1">
      <alignment horizontal="left" vertical="center" wrapText="1"/>
    </xf>
    <xf numFmtId="0" fontId="47" fillId="0" borderId="86" xfId="0" applyFont="1" applyFill="1" applyBorder="1" applyAlignment="1">
      <alignment horizontal="center" vertical="center"/>
    </xf>
    <xf numFmtId="0" fontId="47" fillId="0" borderId="21" xfId="0" applyFont="1" applyFill="1" applyBorder="1" applyAlignment="1">
      <alignment horizontal="center" vertical="center"/>
    </xf>
    <xf numFmtId="0" fontId="47" fillId="0" borderId="18" xfId="0" applyFont="1" applyFill="1" applyBorder="1" applyAlignment="1">
      <alignment horizontal="center" vertical="center"/>
    </xf>
    <xf numFmtId="0" fontId="47" fillId="0" borderId="108" xfId="0" applyFont="1" applyFill="1" applyBorder="1" applyAlignment="1">
      <alignment horizontal="center" vertical="center"/>
    </xf>
    <xf numFmtId="165" fontId="0" fillId="0" borderId="13" xfId="0" applyNumberFormat="1" applyFill="1" applyBorder="1" applyAlignment="1">
      <alignment horizontal="center" vertical="center"/>
    </xf>
    <xf numFmtId="165" fontId="0" fillId="0" borderId="42" xfId="0" applyNumberFormat="1" applyFill="1" applyBorder="1" applyAlignment="1">
      <alignment horizontal="center" vertical="center"/>
    </xf>
    <xf numFmtId="165" fontId="0" fillId="0" borderId="14" xfId="0" applyNumberFormat="1" applyFill="1" applyBorder="1" applyAlignment="1">
      <alignment horizontal="center" vertical="center"/>
    </xf>
    <xf numFmtId="165" fontId="0" fillId="0" borderId="64" xfId="0" applyNumberFormat="1" applyFill="1" applyBorder="1" applyAlignment="1">
      <alignment horizontal="center" vertical="center"/>
    </xf>
    <xf numFmtId="0" fontId="47" fillId="0" borderId="45" xfId="0" applyFont="1" applyFill="1" applyBorder="1" applyAlignment="1">
      <alignment vertical="center" wrapText="1"/>
    </xf>
    <xf numFmtId="0" fontId="47" fillId="0" borderId="79" xfId="0" applyFont="1" applyFill="1" applyBorder="1" applyAlignment="1">
      <alignment vertical="center" wrapText="1"/>
    </xf>
    <xf numFmtId="0" fontId="47" fillId="0" borderId="70" xfId="0" applyFont="1" applyFill="1" applyBorder="1" applyAlignment="1">
      <alignment horizontal="center" vertical="center"/>
    </xf>
    <xf numFmtId="3" fontId="47" fillId="2" borderId="32" xfId="0" applyNumberFormat="1" applyFont="1" applyFill="1"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9" fontId="45" fillId="0" borderId="21" xfId="3" applyFont="1" applyBorder="1" applyAlignment="1">
      <alignment horizontal="center" vertical="center"/>
    </xf>
    <xf numFmtId="9" fontId="47" fillId="0" borderId="18" xfId="3" applyFont="1" applyBorder="1" applyAlignment="1">
      <alignment horizontal="center" vertical="center"/>
    </xf>
    <xf numFmtId="0" fontId="0" fillId="9" borderId="2" xfId="0" applyFill="1" applyBorder="1" applyAlignment="1">
      <alignment horizontal="center" vertical="center"/>
    </xf>
    <xf numFmtId="1" fontId="0" fillId="9" borderId="2" xfId="0" applyNumberFormat="1" applyFill="1" applyBorder="1" applyAlignment="1">
      <alignment horizontal="center" vertical="center"/>
    </xf>
    <xf numFmtId="0" fontId="0" fillId="9" borderId="42" xfId="0" applyFill="1" applyBorder="1" applyAlignment="1">
      <alignment horizontal="center" vertical="center"/>
    </xf>
    <xf numFmtId="1" fontId="45" fillId="0" borderId="21" xfId="3" applyNumberFormat="1" applyFont="1" applyBorder="1" applyAlignment="1">
      <alignment horizontal="center" vertical="center"/>
    </xf>
    <xf numFmtId="0" fontId="0" fillId="9" borderId="8" xfId="0" applyFill="1" applyBorder="1" applyAlignment="1">
      <alignment horizontal="center" vertical="center"/>
    </xf>
    <xf numFmtId="1" fontId="0" fillId="0" borderId="0" xfId="0" applyNumberFormat="1"/>
    <xf numFmtId="165" fontId="47" fillId="9" borderId="59" xfId="0" applyNumberFormat="1" applyFont="1" applyFill="1" applyBorder="1" applyAlignment="1">
      <alignment horizontal="center" vertical="center"/>
    </xf>
    <xf numFmtId="0" fontId="47" fillId="9" borderId="59" xfId="0" applyFont="1" applyFill="1" applyBorder="1" applyAlignment="1">
      <alignment horizontal="center" vertical="center"/>
    </xf>
    <xf numFmtId="2" fontId="47" fillId="9" borderId="59" xfId="0" applyNumberFormat="1" applyFont="1" applyFill="1" applyBorder="1" applyAlignment="1">
      <alignment horizontal="center" vertical="center"/>
    </xf>
    <xf numFmtId="0" fontId="70" fillId="0" borderId="0" xfId="0" applyFont="1" applyAlignment="1">
      <alignment horizontal="center" vertical="center"/>
    </xf>
    <xf numFmtId="0" fontId="70" fillId="0" borderId="0" xfId="0" applyFont="1"/>
    <xf numFmtId="0" fontId="70" fillId="0" borderId="0" xfId="0" applyFont="1" applyBorder="1"/>
    <xf numFmtId="0" fontId="70" fillId="0" borderId="0" xfId="0" applyFont="1" applyBorder="1" applyAlignment="1">
      <alignment vertical="center"/>
    </xf>
    <xf numFmtId="0" fontId="70" fillId="0" borderId="0" xfId="0" applyFont="1" applyBorder="1" applyAlignment="1">
      <alignment vertical="center" wrapText="1"/>
    </xf>
    <xf numFmtId="0" fontId="71" fillId="0" borderId="0" xfId="0" applyFont="1" applyBorder="1" applyAlignment="1">
      <alignment vertical="center"/>
    </xf>
    <xf numFmtId="0" fontId="72" fillId="0" borderId="0" xfId="0" applyFont="1" applyBorder="1" applyAlignment="1">
      <alignment horizontal="center" vertical="center"/>
    </xf>
    <xf numFmtId="2" fontId="70" fillId="0" borderId="0" xfId="0" applyNumberFormat="1" applyFont="1" applyBorder="1" applyAlignment="1">
      <alignment vertical="center"/>
    </xf>
    <xf numFmtId="0" fontId="70" fillId="0" borderId="0" xfId="0" applyFont="1" applyBorder="1" applyAlignment="1">
      <alignment vertical="top"/>
    </xf>
    <xf numFmtId="0" fontId="70" fillId="0" borderId="0" xfId="0" applyFont="1" applyAlignment="1">
      <alignment vertical="top"/>
    </xf>
    <xf numFmtId="0" fontId="70" fillId="0" borderId="0" xfId="0" applyFont="1" applyAlignment="1">
      <alignment vertical="center"/>
    </xf>
    <xf numFmtId="0" fontId="70" fillId="0" borderId="0" xfId="0" applyFont="1" applyAlignment="1">
      <alignment vertical="center" wrapText="1"/>
    </xf>
    <xf numFmtId="0" fontId="73" fillId="0" borderId="0" xfId="0" applyFont="1" applyBorder="1" applyAlignment="1">
      <alignment horizontal="center" vertical="center"/>
    </xf>
    <xf numFmtId="0" fontId="70" fillId="0" borderId="0" xfId="0" applyFont="1" applyBorder="1" applyAlignment="1">
      <alignment wrapText="1"/>
    </xf>
    <xf numFmtId="0" fontId="70" fillId="0" borderId="0" xfId="0" applyFont="1" applyBorder="1" applyAlignment="1">
      <alignment horizontal="center" vertical="center"/>
    </xf>
    <xf numFmtId="0" fontId="71" fillId="0" borderId="65" xfId="0" applyFont="1" applyBorder="1" applyAlignment="1">
      <alignment vertical="center"/>
    </xf>
    <xf numFmtId="0" fontId="71" fillId="0" borderId="61" xfId="0" applyFont="1" applyBorder="1" applyAlignment="1">
      <alignment vertical="center"/>
    </xf>
    <xf numFmtId="0" fontId="71" fillId="0" borderId="8" xfId="0" applyFont="1" applyFill="1" applyBorder="1" applyAlignment="1">
      <alignment vertical="center"/>
    </xf>
    <xf numFmtId="0" fontId="71" fillId="0" borderId="1" xfId="0" applyFont="1" applyBorder="1" applyAlignment="1">
      <alignment vertical="center"/>
    </xf>
    <xf numFmtId="0" fontId="71" fillId="0" borderId="8" xfId="0" applyFont="1" applyBorder="1" applyAlignment="1">
      <alignment vertical="center"/>
    </xf>
    <xf numFmtId="0" fontId="71" fillId="0" borderId="42" xfId="0" applyFont="1" applyBorder="1" applyAlignment="1">
      <alignment vertical="center"/>
    </xf>
    <xf numFmtId="0" fontId="71" fillId="0" borderId="49" xfId="0" applyFont="1" applyBorder="1" applyAlignment="1">
      <alignment vertical="center"/>
    </xf>
    <xf numFmtId="0" fontId="71" fillId="0" borderId="4" xfId="0" applyFont="1" applyBorder="1" applyAlignment="1">
      <alignment vertical="center"/>
    </xf>
    <xf numFmtId="0" fontId="71" fillId="0" borderId="63" xfId="0" applyFont="1" applyBorder="1" applyAlignment="1">
      <alignment vertical="center"/>
    </xf>
    <xf numFmtId="0" fontId="36" fillId="0" borderId="38" xfId="0" applyFont="1" applyFill="1" applyBorder="1" applyAlignment="1">
      <alignment horizontal="center" vertical="center"/>
    </xf>
    <xf numFmtId="165" fontId="36" fillId="0" borderId="38" xfId="0" applyNumberFormat="1" applyFont="1" applyFill="1" applyBorder="1" applyAlignment="1">
      <alignment horizontal="center" vertical="center"/>
    </xf>
    <xf numFmtId="0" fontId="71" fillId="0" borderId="0" xfId="0" applyFont="1" applyBorder="1" applyAlignment="1">
      <alignment vertical="center" wrapText="1"/>
    </xf>
    <xf numFmtId="2" fontId="71" fillId="0" borderId="0" xfId="0" applyNumberFormat="1" applyFont="1" applyFill="1" applyBorder="1" applyAlignment="1">
      <alignment vertical="top"/>
    </xf>
    <xf numFmtId="0" fontId="71" fillId="0" borderId="29" xfId="0" applyFont="1" applyFill="1" applyBorder="1" applyAlignment="1">
      <alignment horizontal="center" vertical="center" wrapText="1"/>
    </xf>
    <xf numFmtId="0" fontId="74" fillId="10" borderId="86" xfId="0" applyFont="1" applyFill="1" applyBorder="1" applyAlignment="1">
      <alignment horizontal="center" vertical="center" textRotation="90" wrapText="1"/>
    </xf>
    <xf numFmtId="0" fontId="71" fillId="0" borderId="109" xfId="0" applyFont="1" applyFill="1" applyBorder="1" applyAlignment="1">
      <alignment horizontal="center" vertical="center" wrapText="1"/>
    </xf>
    <xf numFmtId="0" fontId="71" fillId="0" borderId="110" xfId="0" applyFont="1" applyFill="1" applyBorder="1" applyAlignment="1">
      <alignment horizontal="center" vertical="center" wrapText="1"/>
    </xf>
    <xf numFmtId="0" fontId="36" fillId="0" borderId="109" xfId="0" applyFont="1" applyBorder="1" applyAlignment="1">
      <alignment horizontal="center" vertical="center"/>
    </xf>
    <xf numFmtId="0" fontId="36" fillId="0" borderId="111" xfId="0" applyFont="1" applyBorder="1" applyAlignment="1">
      <alignment horizontal="center" vertical="center"/>
    </xf>
    <xf numFmtId="0" fontId="36" fillId="0" borderId="112" xfId="0" applyFont="1" applyBorder="1" applyAlignment="1">
      <alignment horizontal="center" vertical="center"/>
    </xf>
    <xf numFmtId="0" fontId="36" fillId="0" borderId="113" xfId="0" applyFont="1" applyBorder="1" applyAlignment="1">
      <alignment horizontal="center" vertical="center"/>
    </xf>
    <xf numFmtId="2" fontId="36" fillId="0" borderId="109" xfId="0" applyNumberFormat="1" applyFont="1" applyFill="1" applyBorder="1" applyAlignment="1">
      <alignment horizontal="center" vertical="center"/>
    </xf>
    <xf numFmtId="2" fontId="36" fillId="0" borderId="111" xfId="0" applyNumberFormat="1" applyFont="1" applyFill="1" applyBorder="1" applyAlignment="1">
      <alignment horizontal="center" vertical="center"/>
    </xf>
    <xf numFmtId="2" fontId="36" fillId="0" borderId="112" xfId="0" applyNumberFormat="1" applyFont="1" applyFill="1" applyBorder="1" applyAlignment="1">
      <alignment horizontal="center" vertical="center"/>
    </xf>
    <xf numFmtId="167" fontId="36" fillId="0" borderId="111" xfId="0" applyNumberFormat="1" applyFont="1" applyFill="1" applyBorder="1" applyAlignment="1">
      <alignment horizontal="center" vertical="center"/>
    </xf>
    <xf numFmtId="167" fontId="36" fillId="0" borderId="109" xfId="0" applyNumberFormat="1" applyFont="1" applyFill="1" applyBorder="1" applyAlignment="1">
      <alignment horizontal="center" vertical="center"/>
    </xf>
    <xf numFmtId="167" fontId="36" fillId="0" borderId="112" xfId="0" applyNumberFormat="1" applyFont="1" applyFill="1" applyBorder="1" applyAlignment="1">
      <alignment horizontal="center" vertical="center"/>
    </xf>
    <xf numFmtId="167" fontId="36" fillId="0" borderId="113" xfId="0" applyNumberFormat="1" applyFont="1" applyFill="1" applyBorder="1" applyAlignment="1">
      <alignment horizontal="center" vertical="center"/>
    </xf>
    <xf numFmtId="0" fontId="49" fillId="0" borderId="114" xfId="0" applyFont="1" applyBorder="1" applyAlignment="1">
      <alignment horizontal="center" vertical="center" wrapText="1"/>
    </xf>
    <xf numFmtId="0" fontId="47" fillId="0" borderId="115" xfId="0" applyFont="1" applyBorder="1" applyAlignment="1">
      <alignment horizontal="center" vertical="center"/>
    </xf>
    <xf numFmtId="0" fontId="47" fillId="0" borderId="116" xfId="0" applyFont="1" applyBorder="1" applyAlignment="1">
      <alignment horizontal="center" vertical="center"/>
    </xf>
    <xf numFmtId="0" fontId="47" fillId="0" borderId="117" xfId="0" applyFont="1" applyBorder="1" applyAlignment="1">
      <alignment horizontal="center" vertical="center"/>
    </xf>
    <xf numFmtId="0" fontId="47" fillId="0" borderId="118" xfId="0" applyFont="1" applyBorder="1" applyAlignment="1">
      <alignment horizontal="center" vertical="center"/>
    </xf>
    <xf numFmtId="2" fontId="47" fillId="0" borderId="117" xfId="0" applyNumberFormat="1" applyFont="1" applyBorder="1" applyAlignment="1">
      <alignment horizontal="center" vertical="center"/>
    </xf>
    <xf numFmtId="2" fontId="47" fillId="0" borderId="118" xfId="0" applyNumberFormat="1" applyFont="1" applyBorder="1" applyAlignment="1">
      <alignment horizontal="center" vertical="center"/>
    </xf>
    <xf numFmtId="0" fontId="52" fillId="0" borderId="59" xfId="0" applyFont="1" applyFill="1" applyBorder="1" applyAlignment="1">
      <alignment horizontal="center" vertical="center"/>
    </xf>
    <xf numFmtId="167" fontId="36" fillId="0" borderId="110" xfId="0" applyNumberFormat="1" applyFont="1" applyFill="1" applyBorder="1" applyAlignment="1">
      <alignment horizontal="center" vertical="center"/>
    </xf>
    <xf numFmtId="167" fontId="36" fillId="0" borderId="119" xfId="0" applyNumberFormat="1" applyFont="1" applyFill="1" applyBorder="1" applyAlignment="1">
      <alignment horizontal="center" vertical="center"/>
    </xf>
    <xf numFmtId="167" fontId="36" fillId="0" borderId="120" xfId="0" applyNumberFormat="1" applyFont="1" applyFill="1" applyBorder="1" applyAlignment="1">
      <alignment horizontal="center" vertical="center"/>
    </xf>
    <xf numFmtId="167" fontId="36" fillId="0" borderId="121" xfId="0" applyNumberFormat="1" applyFont="1" applyFill="1" applyBorder="1" applyAlignment="1">
      <alignment horizontal="center" vertical="center"/>
    </xf>
    <xf numFmtId="0" fontId="47" fillId="0" borderId="95" xfId="0" applyFont="1" applyBorder="1" applyAlignment="1">
      <alignment horizontal="center" vertical="center" wrapText="1"/>
    </xf>
    <xf numFmtId="0" fontId="0" fillId="0" borderId="76" xfId="0" applyBorder="1" applyAlignment="1">
      <alignment horizontal="center" vertical="center" wrapText="1"/>
    </xf>
    <xf numFmtId="0" fontId="0" fillId="0" borderId="78" xfId="0" applyBorder="1" applyAlignment="1">
      <alignment horizontal="center" vertical="center" wrapText="1"/>
    </xf>
    <xf numFmtId="0" fontId="47" fillId="3" borderId="2" xfId="0" applyNumberFormat="1" applyFont="1" applyFill="1" applyBorder="1" applyAlignment="1">
      <alignment horizontal="center" vertical="center"/>
    </xf>
    <xf numFmtId="0" fontId="39" fillId="0" borderId="38" xfId="0" applyFont="1" applyBorder="1" applyAlignment="1" applyProtection="1">
      <alignment horizontal="center" vertical="center"/>
    </xf>
    <xf numFmtId="0" fontId="39" fillId="0" borderId="108" xfId="0" applyFont="1" applyFill="1" applyBorder="1" applyAlignment="1" applyProtection="1">
      <alignment horizontal="center" vertical="center"/>
    </xf>
    <xf numFmtId="0" fontId="34" fillId="0" borderId="0" xfId="0" applyFont="1" applyFill="1" applyAlignment="1">
      <alignment horizontal="center" vertical="center" wrapText="1"/>
    </xf>
    <xf numFmtId="0" fontId="70" fillId="0" borderId="0" xfId="0" applyFont="1" applyFill="1"/>
    <xf numFmtId="0" fontId="70" fillId="0" borderId="0" xfId="0" applyFont="1" applyAlignment="1">
      <alignment horizontal="left" vertical="center" wrapText="1"/>
    </xf>
    <xf numFmtId="0" fontId="70" fillId="0" borderId="0" xfId="0" applyFont="1" applyAlignment="1">
      <alignment horizontal="left" vertical="center"/>
    </xf>
    <xf numFmtId="0" fontId="38" fillId="0" borderId="0" xfId="0" applyFont="1" applyFill="1" applyAlignment="1">
      <alignment horizontal="center" vertical="center" wrapText="1"/>
    </xf>
    <xf numFmtId="0" fontId="39" fillId="0" borderId="0" xfId="2" applyFont="1" applyFill="1" applyAlignment="1">
      <alignment horizontal="left" vertical="center" indent="1"/>
    </xf>
    <xf numFmtId="0" fontId="39" fillId="0" borderId="0" xfId="0" applyFont="1" applyFill="1" applyAlignment="1">
      <alignment horizontal="center" vertical="center" wrapText="1"/>
    </xf>
    <xf numFmtId="0" fontId="75" fillId="0" borderId="86" xfId="0" applyFont="1" applyBorder="1" applyAlignment="1" applyProtection="1">
      <alignment horizontal="center" vertical="center" wrapText="1"/>
      <protection locked="0"/>
    </xf>
    <xf numFmtId="0" fontId="75" fillId="0" borderId="108" xfId="0" applyFont="1" applyFill="1" applyBorder="1" applyAlignment="1" applyProtection="1">
      <alignment horizontal="center" vertical="center"/>
      <protection locked="0"/>
    </xf>
    <xf numFmtId="165" fontId="75" fillId="0" borderId="108" xfId="0" applyNumberFormat="1" applyFont="1" applyFill="1" applyBorder="1" applyAlignment="1" applyProtection="1">
      <alignment horizontal="center" vertical="center"/>
      <protection locked="0"/>
    </xf>
    <xf numFmtId="0" fontId="75" fillId="0" borderId="29" xfId="0" applyFont="1" applyBorder="1" applyAlignment="1" applyProtection="1">
      <alignment horizontal="center" vertical="center"/>
      <protection locked="0"/>
    </xf>
    <xf numFmtId="3" fontId="75" fillId="0" borderId="29" xfId="0" applyNumberFormat="1" applyFont="1" applyBorder="1" applyAlignment="1" applyProtection="1">
      <alignment horizontal="center" vertical="center"/>
      <protection locked="0"/>
    </xf>
    <xf numFmtId="4" fontId="75" fillId="0" borderId="29" xfId="0" applyNumberFormat="1" applyFont="1" applyBorder="1" applyAlignment="1" applyProtection="1">
      <alignment horizontal="center" vertical="center"/>
      <protection locked="0"/>
    </xf>
    <xf numFmtId="0" fontId="75" fillId="0" borderId="2" xfId="0" applyFont="1" applyBorder="1" applyAlignment="1" applyProtection="1">
      <alignment horizontal="center" vertical="center"/>
      <protection locked="0"/>
    </xf>
    <xf numFmtId="3" fontId="75" fillId="0" borderId="2" xfId="0" applyNumberFormat="1" applyFont="1" applyBorder="1" applyAlignment="1" applyProtection="1">
      <alignment horizontal="center" vertical="center"/>
      <protection locked="0"/>
    </xf>
    <xf numFmtId="4" fontId="75" fillId="0" borderId="2" xfId="0" applyNumberFormat="1" applyFont="1" applyBorder="1" applyAlignment="1" applyProtection="1">
      <alignment horizontal="center" vertical="center"/>
      <protection locked="0"/>
    </xf>
    <xf numFmtId="0" fontId="75" fillId="0" borderId="3" xfId="0" applyFont="1" applyBorder="1" applyAlignment="1" applyProtection="1">
      <alignment horizontal="center" vertical="center"/>
      <protection locked="0"/>
    </xf>
    <xf numFmtId="3" fontId="75" fillId="0" borderId="3" xfId="0" applyNumberFormat="1" applyFont="1" applyBorder="1" applyAlignment="1" applyProtection="1">
      <alignment horizontal="center" vertical="center"/>
      <protection locked="0"/>
    </xf>
    <xf numFmtId="4" fontId="75" fillId="0" borderId="3" xfId="0" applyNumberFormat="1" applyFont="1" applyBorder="1" applyAlignment="1" applyProtection="1">
      <alignment horizontal="center" vertical="center"/>
      <protection locked="0"/>
    </xf>
    <xf numFmtId="0" fontId="75" fillId="0" borderId="86" xfId="0" applyFont="1" applyBorder="1" applyAlignment="1" applyProtection="1">
      <alignment horizontal="center" vertical="center"/>
      <protection locked="0"/>
    </xf>
    <xf numFmtId="3" fontId="75" fillId="0" borderId="86" xfId="0" applyNumberFormat="1" applyFont="1" applyBorder="1" applyAlignment="1" applyProtection="1">
      <alignment horizontal="center" vertical="center"/>
      <protection locked="0"/>
    </xf>
    <xf numFmtId="4" fontId="75" fillId="0" borderId="86" xfId="0" applyNumberFormat="1" applyFont="1" applyBorder="1" applyAlignment="1" applyProtection="1">
      <alignment horizontal="center" vertical="center"/>
      <protection locked="0"/>
    </xf>
    <xf numFmtId="0" fontId="75" fillId="0" borderId="110" xfId="0" applyFont="1" applyBorder="1" applyAlignment="1" applyProtection="1">
      <alignment horizontal="center" vertical="center"/>
      <protection locked="0"/>
    </xf>
    <xf numFmtId="0" fontId="75" fillId="0" borderId="119" xfId="0" applyFont="1" applyBorder="1" applyAlignment="1" applyProtection="1">
      <alignment horizontal="center" vertical="center"/>
      <protection locked="0"/>
    </xf>
    <xf numFmtId="0" fontId="75" fillId="0" borderId="120" xfId="0" applyFont="1" applyBorder="1" applyAlignment="1" applyProtection="1">
      <alignment horizontal="center" vertical="center"/>
      <protection locked="0"/>
    </xf>
    <xf numFmtId="0" fontId="75" fillId="0" borderId="121" xfId="0" applyFont="1" applyBorder="1" applyAlignment="1" applyProtection="1">
      <alignment horizontal="center" vertical="center"/>
      <protection locked="0"/>
    </xf>
    <xf numFmtId="2" fontId="75" fillId="0" borderId="110" xfId="0" applyNumberFormat="1" applyFont="1" applyFill="1" applyBorder="1" applyAlignment="1" applyProtection="1">
      <alignment horizontal="center" vertical="center"/>
      <protection locked="0"/>
    </xf>
    <xf numFmtId="0" fontId="75" fillId="0" borderId="119" xfId="0" applyFont="1" applyFill="1" applyBorder="1" applyAlignment="1" applyProtection="1">
      <alignment horizontal="center" vertical="center"/>
      <protection locked="0"/>
    </xf>
    <xf numFmtId="0" fontId="75" fillId="0" borderId="120" xfId="0" applyFont="1" applyFill="1" applyBorder="1" applyAlignment="1" applyProtection="1">
      <alignment horizontal="center" vertical="center"/>
      <protection locked="0"/>
    </xf>
    <xf numFmtId="167" fontId="75" fillId="0" borderId="119" xfId="0" applyNumberFormat="1" applyFont="1" applyFill="1" applyBorder="1" applyAlignment="1" applyProtection="1">
      <alignment horizontal="center" vertical="center"/>
      <protection locked="0"/>
    </xf>
    <xf numFmtId="167" fontId="75" fillId="0" borderId="110" xfId="0" applyNumberFormat="1" applyFont="1" applyFill="1" applyBorder="1" applyAlignment="1" applyProtection="1">
      <alignment horizontal="center" vertical="center"/>
      <protection locked="0"/>
    </xf>
    <xf numFmtId="167" fontId="75" fillId="0" borderId="120" xfId="0" applyNumberFormat="1" applyFont="1" applyFill="1" applyBorder="1" applyAlignment="1" applyProtection="1">
      <alignment horizontal="center" vertical="center"/>
      <protection locked="0"/>
    </xf>
    <xf numFmtId="167" fontId="75" fillId="0" borderId="121" xfId="0" applyNumberFormat="1" applyFont="1" applyFill="1" applyBorder="1" applyAlignment="1" applyProtection="1">
      <alignment horizontal="center" vertical="center"/>
      <protection locked="0"/>
    </xf>
    <xf numFmtId="0" fontId="39" fillId="0" borderId="24" xfId="0" applyFont="1" applyBorder="1" applyAlignment="1" applyProtection="1">
      <alignment horizontal="center" vertical="center"/>
    </xf>
    <xf numFmtId="0" fontId="34" fillId="8" borderId="122" xfId="0" applyFont="1" applyFill="1" applyBorder="1" applyAlignment="1" applyProtection="1">
      <alignment horizontal="center" vertical="center"/>
    </xf>
    <xf numFmtId="1" fontId="71" fillId="2" borderId="21" xfId="0" applyNumberFormat="1" applyFont="1" applyFill="1" applyBorder="1" applyAlignment="1" applyProtection="1">
      <alignment horizontal="center" vertical="center"/>
    </xf>
    <xf numFmtId="0" fontId="71" fillId="2" borderId="22" xfId="0" applyFont="1" applyFill="1" applyBorder="1" applyAlignment="1" applyProtection="1">
      <alignment horizontal="center" vertical="center"/>
    </xf>
    <xf numFmtId="1" fontId="71" fillId="2" borderId="18" xfId="0" applyNumberFormat="1" applyFont="1" applyFill="1" applyBorder="1" applyAlignment="1" applyProtection="1">
      <alignment horizontal="center" vertical="center"/>
    </xf>
    <xf numFmtId="0" fontId="71" fillId="2" borderId="19" xfId="0" applyFont="1" applyFill="1" applyBorder="1" applyAlignment="1" applyProtection="1">
      <alignment horizontal="center" vertical="center"/>
    </xf>
    <xf numFmtId="1" fontId="71" fillId="2" borderId="24" xfId="0" applyNumberFormat="1" applyFont="1" applyFill="1" applyBorder="1" applyAlignment="1" applyProtection="1">
      <alignment horizontal="center" vertical="center"/>
    </xf>
    <xf numFmtId="0" fontId="71" fillId="2" borderId="25" xfId="0" applyFont="1" applyFill="1" applyBorder="1" applyAlignment="1" applyProtection="1">
      <alignment horizontal="center" vertical="center"/>
    </xf>
    <xf numFmtId="1" fontId="71" fillId="2" borderId="38" xfId="0" applyNumberFormat="1" applyFont="1" applyFill="1" applyBorder="1" applyAlignment="1" applyProtection="1">
      <alignment horizontal="center" vertical="center"/>
    </xf>
    <xf numFmtId="0" fontId="71" fillId="2" borderId="39" xfId="0" applyFont="1" applyFill="1" applyBorder="1" applyAlignment="1" applyProtection="1">
      <alignment horizontal="center" vertical="center"/>
    </xf>
    <xf numFmtId="1" fontId="71" fillId="2" borderId="108" xfId="0" applyNumberFormat="1" applyFont="1" applyFill="1" applyBorder="1" applyAlignment="1" applyProtection="1">
      <alignment horizontal="center" vertical="center"/>
    </xf>
    <xf numFmtId="0" fontId="71" fillId="2" borderId="123" xfId="0" applyFont="1" applyFill="1" applyBorder="1" applyAlignment="1" applyProtection="1">
      <alignment horizontal="center" vertical="center"/>
    </xf>
    <xf numFmtId="0" fontId="74" fillId="8" borderId="7" xfId="0" applyFont="1" applyFill="1" applyBorder="1" applyAlignment="1" applyProtection="1">
      <alignment horizontal="center" vertical="center" textRotation="90" wrapText="1"/>
    </xf>
    <xf numFmtId="1" fontId="71" fillId="2" borderId="32" xfId="0" applyNumberFormat="1" applyFont="1" applyFill="1" applyBorder="1" applyAlignment="1" applyProtection="1">
      <alignment horizontal="center" vertical="center"/>
    </xf>
    <xf numFmtId="0" fontId="71" fillId="2" borderId="14" xfId="0" applyFont="1" applyFill="1" applyBorder="1" applyAlignment="1" applyProtection="1">
      <alignment horizontal="center" vertical="center"/>
    </xf>
    <xf numFmtId="0" fontId="0" fillId="0" borderId="0" xfId="0" applyProtection="1"/>
    <xf numFmtId="0" fontId="0" fillId="0" borderId="0" xfId="0" applyBorder="1" applyProtection="1"/>
    <xf numFmtId="0" fontId="47" fillId="0" borderId="0" xfId="0" applyFont="1" applyFill="1" applyBorder="1" applyAlignment="1" applyProtection="1">
      <alignment vertical="center" wrapText="1"/>
    </xf>
    <xf numFmtId="0" fontId="0" fillId="0" borderId="0" xfId="0" applyFont="1" applyBorder="1" applyAlignment="1" applyProtection="1">
      <alignment horizontal="center" vertical="center"/>
    </xf>
    <xf numFmtId="0" fontId="39" fillId="0" borderId="21" xfId="0" applyFont="1" applyBorder="1" applyAlignment="1" applyProtection="1">
      <alignment horizontal="center" vertical="center"/>
    </xf>
    <xf numFmtId="0" fontId="39" fillId="0" borderId="24" xfId="0" applyFont="1" applyBorder="1" applyAlignment="1" applyProtection="1">
      <alignment horizontal="center" vertical="center" wrapText="1"/>
    </xf>
    <xf numFmtId="0" fontId="70" fillId="0" borderId="38" xfId="0" applyFont="1" applyFill="1" applyBorder="1" applyAlignment="1" applyProtection="1">
      <alignment horizontal="center" vertical="center"/>
    </xf>
    <xf numFmtId="0" fontId="71" fillId="0" borderId="0" xfId="0" applyFont="1" applyFill="1" applyBorder="1" applyAlignment="1" applyProtection="1">
      <alignment vertical="center"/>
    </xf>
    <xf numFmtId="0" fontId="75" fillId="0" borderId="0" xfId="0" applyFont="1" applyFill="1" applyBorder="1" applyAlignment="1" applyProtection="1">
      <alignment horizontal="center" vertical="center"/>
    </xf>
    <xf numFmtId="0" fontId="70" fillId="0" borderId="108" xfId="0" applyFont="1" applyFill="1" applyBorder="1" applyAlignment="1" applyProtection="1">
      <alignment horizontal="center" vertical="center"/>
    </xf>
    <xf numFmtId="165" fontId="70" fillId="0" borderId="38" xfId="0" applyNumberFormat="1" applyFont="1" applyFill="1" applyBorder="1" applyAlignment="1" applyProtection="1">
      <alignment horizontal="center" vertical="center"/>
    </xf>
    <xf numFmtId="165" fontId="75" fillId="0" borderId="0" xfId="0" applyNumberFormat="1" applyFont="1" applyFill="1" applyBorder="1" applyAlignment="1" applyProtection="1">
      <alignment horizontal="center" vertical="center"/>
    </xf>
    <xf numFmtId="3" fontId="36" fillId="0" borderId="29" xfId="0" applyNumberFormat="1" applyFont="1" applyBorder="1" applyAlignment="1" applyProtection="1">
      <alignment horizontal="center" vertical="center"/>
    </xf>
    <xf numFmtId="4" fontId="36" fillId="0" borderId="29" xfId="0" applyNumberFormat="1" applyFont="1" applyBorder="1" applyAlignment="1" applyProtection="1">
      <alignment horizontal="center" vertical="center"/>
    </xf>
    <xf numFmtId="0" fontId="36" fillId="0" borderId="29" xfId="0" applyFont="1" applyBorder="1" applyAlignment="1" applyProtection="1">
      <alignment horizontal="center" vertical="center"/>
    </xf>
    <xf numFmtId="2" fontId="36" fillId="0" borderId="29" xfId="0" applyNumberFormat="1" applyFont="1" applyFill="1" applyBorder="1" applyAlignment="1" applyProtection="1">
      <alignment horizontal="center" vertical="center"/>
    </xf>
    <xf numFmtId="167" fontId="36" fillId="0" borderId="29" xfId="0" applyNumberFormat="1" applyFont="1" applyFill="1" applyBorder="1" applyAlignment="1" applyProtection="1">
      <alignment horizontal="center" vertical="center"/>
    </xf>
    <xf numFmtId="3" fontId="36" fillId="0" borderId="2" xfId="0" applyNumberFormat="1" applyFont="1" applyBorder="1" applyAlignment="1" applyProtection="1">
      <alignment horizontal="center" vertical="center"/>
    </xf>
    <xf numFmtId="4" fontId="36" fillId="0" borderId="2" xfId="0" applyNumberFormat="1" applyFont="1" applyBorder="1" applyAlignment="1" applyProtection="1">
      <alignment horizontal="center" vertical="center"/>
    </xf>
    <xf numFmtId="0" fontId="36" fillId="0" borderId="2" xfId="0" applyFont="1" applyBorder="1" applyAlignment="1" applyProtection="1">
      <alignment horizontal="center" vertical="center"/>
    </xf>
    <xf numFmtId="0" fontId="36" fillId="0" borderId="2" xfId="0" applyFont="1" applyFill="1" applyBorder="1" applyAlignment="1" applyProtection="1">
      <alignment horizontal="center" vertical="center"/>
    </xf>
    <xf numFmtId="167" fontId="36" fillId="0" borderId="2" xfId="0" applyNumberFormat="1" applyFont="1" applyFill="1" applyBorder="1" applyAlignment="1" applyProtection="1">
      <alignment horizontal="center" vertical="center"/>
    </xf>
    <xf numFmtId="3" fontId="36" fillId="0" borderId="3" xfId="0" applyNumberFormat="1" applyFont="1" applyBorder="1" applyAlignment="1" applyProtection="1">
      <alignment horizontal="center" vertical="center"/>
    </xf>
    <xf numFmtId="4" fontId="36" fillId="0" borderId="3" xfId="0" applyNumberFormat="1" applyFont="1" applyBorder="1" applyAlignment="1" applyProtection="1">
      <alignment horizontal="center" vertical="center"/>
    </xf>
    <xf numFmtId="0" fontId="36" fillId="0" borderId="3" xfId="0" applyFont="1" applyBorder="1" applyAlignment="1" applyProtection="1">
      <alignment horizontal="center" vertical="center"/>
    </xf>
    <xf numFmtId="0" fontId="36" fillId="0" borderId="3" xfId="0" applyFont="1" applyFill="1" applyBorder="1" applyAlignment="1" applyProtection="1">
      <alignment horizontal="center" vertical="center"/>
    </xf>
    <xf numFmtId="167" fontId="36" fillId="0" borderId="3" xfId="0" applyNumberFormat="1" applyFont="1" applyFill="1" applyBorder="1" applyAlignment="1" applyProtection="1">
      <alignment horizontal="center" vertical="center"/>
    </xf>
    <xf numFmtId="0" fontId="74" fillId="10" borderId="86" xfId="0" applyFont="1" applyFill="1" applyBorder="1" applyAlignment="1" applyProtection="1">
      <alignment horizontal="center" vertical="center" textRotation="90" wrapText="1"/>
    </xf>
    <xf numFmtId="3" fontId="36" fillId="0" borderId="86" xfId="0" applyNumberFormat="1" applyFont="1" applyBorder="1" applyAlignment="1" applyProtection="1">
      <alignment horizontal="center" vertical="center"/>
    </xf>
    <xf numFmtId="4" fontId="36" fillId="0" borderId="86" xfId="0" applyNumberFormat="1" applyFont="1" applyBorder="1" applyAlignment="1" applyProtection="1">
      <alignment horizontal="center" vertical="center"/>
    </xf>
    <xf numFmtId="0" fontId="36" fillId="0" borderId="86" xfId="0" applyFont="1" applyBorder="1" applyAlignment="1" applyProtection="1">
      <alignment horizontal="center" vertical="center"/>
    </xf>
    <xf numFmtId="167" fontId="36" fillId="0" borderId="86" xfId="0" applyNumberFormat="1" applyFont="1" applyFill="1" applyBorder="1" applyAlignment="1" applyProtection="1">
      <alignment horizontal="center" vertical="center"/>
    </xf>
    <xf numFmtId="0" fontId="70" fillId="0" borderId="0" xfId="0" applyFont="1" applyAlignment="1">
      <alignment vertical="center" wrapText="1"/>
    </xf>
    <xf numFmtId="0" fontId="0" fillId="0" borderId="0" xfId="0" applyAlignment="1">
      <alignment vertical="center" wrapText="1"/>
    </xf>
    <xf numFmtId="0" fontId="70" fillId="0" borderId="0" xfId="2" applyFont="1" applyAlignment="1" applyProtection="1">
      <alignment horizontal="left" vertical="center" wrapText="1"/>
      <protection locked="0"/>
    </xf>
    <xf numFmtId="0" fontId="39" fillId="0" borderId="0" xfId="0" applyFont="1" applyFill="1" applyAlignment="1">
      <alignment horizontal="left" vertical="center" wrapText="1"/>
    </xf>
    <xf numFmtId="0" fontId="76" fillId="11" borderId="0" xfId="2" applyFont="1" applyFill="1" applyAlignment="1">
      <alignment horizontal="left" vertical="center" wrapText="1" indent="1"/>
    </xf>
    <xf numFmtId="0" fontId="77" fillId="11" borderId="0" xfId="2" applyFont="1" applyFill="1" applyAlignment="1">
      <alignment horizontal="left" vertical="center" wrapText="1" indent="1"/>
    </xf>
    <xf numFmtId="0" fontId="34" fillId="12" borderId="0" xfId="0" applyFont="1" applyFill="1" applyAlignment="1">
      <alignment horizontal="center" vertical="center" wrapText="1"/>
    </xf>
    <xf numFmtId="0" fontId="70" fillId="0" borderId="0" xfId="0" applyFont="1" applyAlignment="1">
      <alignment horizontal="left" vertical="center" wrapText="1"/>
    </xf>
    <xf numFmtId="0" fontId="78" fillId="7" borderId="65" xfId="2" applyFont="1" applyFill="1" applyBorder="1" applyAlignment="1">
      <alignment horizontal="center" vertical="center" wrapText="1"/>
    </xf>
    <xf numFmtId="0" fontId="78" fillId="7" borderId="124" xfId="2" applyFont="1" applyFill="1" applyBorder="1" applyAlignment="1">
      <alignment horizontal="center" vertical="center" wrapText="1"/>
    </xf>
    <xf numFmtId="0" fontId="78" fillId="7" borderId="62" xfId="2" applyFont="1" applyFill="1" applyBorder="1" applyAlignment="1">
      <alignment horizontal="center" vertical="center" wrapText="1"/>
    </xf>
    <xf numFmtId="0" fontId="78" fillId="7" borderId="8" xfId="2" applyFont="1" applyFill="1" applyBorder="1" applyAlignment="1">
      <alignment horizontal="center" vertical="center" wrapText="1"/>
    </xf>
    <xf numFmtId="0" fontId="78" fillId="7" borderId="0" xfId="2" applyFont="1" applyFill="1" applyBorder="1" applyAlignment="1">
      <alignment horizontal="center" vertical="center" wrapText="1"/>
    </xf>
    <xf numFmtId="0" fontId="78" fillId="7" borderId="49" xfId="2" applyFont="1" applyFill="1" applyBorder="1" applyAlignment="1">
      <alignment horizontal="center" vertical="center" wrapText="1"/>
    </xf>
    <xf numFmtId="0" fontId="78" fillId="0" borderId="66" xfId="0" applyFont="1" applyBorder="1" applyAlignment="1">
      <alignment horizontal="center" vertical="center" wrapText="1"/>
    </xf>
    <xf numFmtId="0" fontId="78" fillId="0" borderId="125" xfId="0" applyFont="1" applyBorder="1" applyAlignment="1">
      <alignment horizontal="center" vertical="center" wrapText="1"/>
    </xf>
    <xf numFmtId="0" fontId="78" fillId="0" borderId="63" xfId="0" applyFont="1" applyBorder="1" applyAlignment="1">
      <alignment horizontal="center" vertical="center" wrapText="1"/>
    </xf>
    <xf numFmtId="0" fontId="75" fillId="0" borderId="65"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75" fillId="0" borderId="8" xfId="0" applyFont="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36" fillId="0" borderId="8" xfId="0" applyFont="1" applyBorder="1" applyAlignment="1" applyProtection="1">
      <alignment horizontal="center" vertical="center"/>
    </xf>
    <xf numFmtId="0" fontId="0" fillId="0" borderId="49" xfId="0" applyFont="1" applyBorder="1" applyAlignment="1">
      <alignment horizontal="center" vertical="center"/>
    </xf>
    <xf numFmtId="0" fontId="36" fillId="0" borderId="66" xfId="0" applyFont="1" applyFill="1" applyBorder="1" applyAlignment="1" applyProtection="1">
      <alignment horizontal="center" vertical="center"/>
    </xf>
    <xf numFmtId="0" fontId="0" fillId="0" borderId="63" xfId="0" applyFont="1" applyBorder="1" applyAlignment="1">
      <alignment horizontal="center" vertical="center"/>
    </xf>
    <xf numFmtId="0" fontId="71" fillId="0" borderId="146" xfId="0" applyFont="1" applyBorder="1" applyAlignment="1">
      <alignment vertical="center" wrapText="1"/>
    </xf>
    <xf numFmtId="0" fontId="0" fillId="0" borderId="147" xfId="0" applyBorder="1" applyAlignment="1">
      <alignment vertical="center" wrapText="1"/>
    </xf>
    <xf numFmtId="0" fontId="0" fillId="0" borderId="148" xfId="0" applyBorder="1" applyAlignment="1">
      <alignment vertical="center" wrapText="1"/>
    </xf>
    <xf numFmtId="0" fontId="0" fillId="0" borderId="8" xfId="0" applyBorder="1" applyAlignment="1">
      <alignment vertical="center" wrapText="1"/>
    </xf>
    <xf numFmtId="0" fontId="0" fillId="0" borderId="0" xfId="0" applyBorder="1" applyAlignment="1">
      <alignment vertical="center" wrapText="1"/>
    </xf>
    <xf numFmtId="0" fontId="0" fillId="0" borderId="149" xfId="0" applyBorder="1" applyAlignment="1">
      <alignment vertical="center" wrapText="1"/>
    </xf>
    <xf numFmtId="0" fontId="0" fillId="0" borderId="150" xfId="0" applyBorder="1" applyAlignment="1">
      <alignment wrapText="1"/>
    </xf>
    <xf numFmtId="0" fontId="0" fillId="0" borderId="151" xfId="0" applyBorder="1" applyAlignment="1">
      <alignment wrapText="1"/>
    </xf>
    <xf numFmtId="0" fontId="0" fillId="0" borderId="152" xfId="0" applyBorder="1" applyAlignment="1">
      <alignment wrapText="1"/>
    </xf>
    <xf numFmtId="0" fontId="71" fillId="0" borderId="153" xfId="0" applyFont="1" applyFill="1" applyBorder="1" applyAlignment="1">
      <alignment vertical="center" wrapText="1"/>
    </xf>
    <xf numFmtId="0" fontId="0" fillId="0" borderId="153" xfId="0" applyBorder="1" applyAlignment="1">
      <alignment vertical="center" wrapText="1"/>
    </xf>
    <xf numFmtId="0" fontId="0" fillId="0" borderId="154" xfId="0" applyBorder="1" applyAlignment="1">
      <alignment vertical="center" wrapText="1"/>
    </xf>
    <xf numFmtId="0" fontId="71" fillId="0" borderId="0" xfId="0" applyFont="1" applyFill="1" applyBorder="1" applyAlignment="1">
      <alignment vertical="center" wrapText="1"/>
    </xf>
    <xf numFmtId="0" fontId="0" fillId="0" borderId="155" xfId="0" applyBorder="1" applyAlignment="1">
      <alignment vertical="center" wrapText="1"/>
    </xf>
    <xf numFmtId="0" fontId="71" fillId="0" borderId="156" xfId="0" applyFont="1" applyFill="1" applyBorder="1" applyAlignment="1">
      <alignment vertical="center" wrapText="1"/>
    </xf>
    <xf numFmtId="0" fontId="0" fillId="0" borderId="156" xfId="0" applyBorder="1" applyAlignment="1">
      <alignment vertical="center" wrapText="1"/>
    </xf>
    <xf numFmtId="0" fontId="0" fillId="0" borderId="157" xfId="0" applyBorder="1" applyAlignment="1">
      <alignment vertical="center" wrapText="1"/>
    </xf>
    <xf numFmtId="0" fontId="71" fillId="0" borderId="158" xfId="0" applyFont="1" applyFill="1" applyBorder="1" applyAlignment="1">
      <alignment vertical="center" wrapText="1"/>
    </xf>
    <xf numFmtId="0" fontId="71" fillId="0" borderId="159" xfId="0" applyFont="1" applyFill="1" applyBorder="1" applyAlignment="1">
      <alignment vertical="center" wrapText="1"/>
    </xf>
    <xf numFmtId="0" fontId="71" fillId="0" borderId="159" xfId="0" applyFont="1" applyBorder="1" applyAlignment="1">
      <alignment vertical="center" wrapText="1"/>
    </xf>
    <xf numFmtId="0" fontId="0" fillId="0" borderId="160" xfId="0" applyBorder="1" applyAlignment="1">
      <alignment vertical="center" wrapText="1"/>
    </xf>
    <xf numFmtId="0" fontId="71" fillId="0" borderId="143" xfId="0" applyFont="1" applyFill="1" applyBorder="1" applyAlignment="1">
      <alignment vertical="center" wrapText="1"/>
    </xf>
    <xf numFmtId="0" fontId="0" fillId="0" borderId="144" xfId="0" applyBorder="1" applyAlignment="1">
      <alignment vertical="center" wrapText="1"/>
    </xf>
    <xf numFmtId="0" fontId="0" fillId="0" borderId="145" xfId="0" applyBorder="1" applyAlignment="1">
      <alignment vertical="center" wrapText="1"/>
    </xf>
    <xf numFmtId="0" fontId="71" fillId="0" borderId="108" xfId="0" applyFont="1" applyFill="1" applyBorder="1" applyAlignment="1">
      <alignment vertical="center"/>
    </xf>
    <xf numFmtId="0" fontId="71" fillId="0" borderId="38" xfId="0" applyFont="1" applyFill="1" applyBorder="1" applyAlignment="1">
      <alignment vertical="center"/>
    </xf>
    <xf numFmtId="0" fontId="71" fillId="0" borderId="86" xfId="0" applyFont="1" applyBorder="1" applyAlignment="1">
      <alignment vertical="center" wrapText="1"/>
    </xf>
    <xf numFmtId="0" fontId="70" fillId="0" borderId="86" xfId="0" applyFont="1" applyBorder="1" applyAlignment="1">
      <alignment vertical="center" wrapText="1"/>
    </xf>
    <xf numFmtId="0" fontId="71" fillId="0" borderId="86" xfId="0" applyFont="1" applyFill="1" applyBorder="1" applyAlignment="1">
      <alignment horizontal="left" vertical="center" wrapText="1"/>
    </xf>
    <xf numFmtId="0" fontId="70" fillId="0" borderId="86" xfId="0" applyFont="1" applyFill="1" applyBorder="1" applyAlignment="1">
      <alignment horizontal="left" vertical="center" wrapText="1"/>
    </xf>
    <xf numFmtId="0" fontId="0" fillId="0" borderId="86" xfId="0" applyBorder="1" applyAlignment="1">
      <alignment horizontal="left" vertical="center" wrapText="1"/>
    </xf>
    <xf numFmtId="0" fontId="71" fillId="0" borderId="3" xfId="0" applyFont="1" applyFill="1" applyBorder="1" applyAlignment="1">
      <alignment horizontal="left" vertical="center" wrapText="1"/>
    </xf>
    <xf numFmtId="0" fontId="70" fillId="0" borderId="3" xfId="0" applyFont="1" applyFill="1" applyBorder="1" applyAlignment="1">
      <alignment horizontal="left" vertical="center" wrapText="1"/>
    </xf>
    <xf numFmtId="0" fontId="0" fillId="0" borderId="3" xfId="0" applyBorder="1" applyAlignment="1">
      <alignment horizontal="left" vertical="center" wrapText="1"/>
    </xf>
    <xf numFmtId="0" fontId="71" fillId="0" borderId="2" xfId="0" applyFont="1" applyFill="1" applyBorder="1" applyAlignment="1">
      <alignment horizontal="left" vertical="center" wrapText="1"/>
    </xf>
    <xf numFmtId="0" fontId="70" fillId="0" borderId="2" xfId="0" applyFont="1" applyFill="1" applyBorder="1" applyAlignment="1">
      <alignment horizontal="left" vertical="center" wrapText="1"/>
    </xf>
    <xf numFmtId="0" fontId="0" fillId="0" borderId="2" xfId="0" applyBorder="1" applyAlignment="1">
      <alignment horizontal="left" vertical="center" wrapText="1"/>
    </xf>
    <xf numFmtId="0" fontId="79" fillId="0" borderId="29" xfId="0" applyFont="1" applyBorder="1" applyAlignment="1">
      <alignment horizontal="center" vertical="center"/>
    </xf>
    <xf numFmtId="0" fontId="0" fillId="0" borderId="29" xfId="0" applyBorder="1" applyAlignment="1">
      <alignment horizontal="center" vertical="center"/>
    </xf>
    <xf numFmtId="0" fontId="71" fillId="0" borderId="161" xfId="0" applyFont="1" applyFill="1" applyBorder="1" applyAlignment="1">
      <alignment vertical="center" wrapText="1"/>
    </xf>
    <xf numFmtId="0" fontId="0" fillId="0" borderId="162" xfId="0" applyFill="1" applyBorder="1" applyAlignment="1">
      <alignment wrapText="1"/>
    </xf>
    <xf numFmtId="0" fontId="0" fillId="0" borderId="163" xfId="0" applyFill="1" applyBorder="1" applyAlignment="1">
      <alignment wrapText="1"/>
    </xf>
    <xf numFmtId="0" fontId="0" fillId="0" borderId="164" xfId="0" applyFill="1" applyBorder="1" applyAlignment="1">
      <alignment wrapText="1"/>
    </xf>
    <xf numFmtId="0" fontId="0" fillId="0" borderId="0" xfId="0" applyFill="1" applyBorder="1" applyAlignment="1">
      <alignment wrapText="1"/>
    </xf>
    <xf numFmtId="0" fontId="0" fillId="0" borderId="165" xfId="0" applyFill="1" applyBorder="1" applyAlignment="1">
      <alignment wrapText="1"/>
    </xf>
    <xf numFmtId="0" fontId="0" fillId="0" borderId="166" xfId="0" applyFill="1" applyBorder="1" applyAlignment="1">
      <alignment wrapText="1"/>
    </xf>
    <xf numFmtId="0" fontId="0" fillId="0" borderId="167" xfId="0" applyFill="1" applyBorder="1" applyAlignment="1">
      <alignment wrapText="1"/>
    </xf>
    <xf numFmtId="0" fontId="0" fillId="0" borderId="168" xfId="0" applyFill="1" applyBorder="1" applyAlignment="1">
      <alignment wrapText="1"/>
    </xf>
    <xf numFmtId="0" fontId="71" fillId="0" borderId="161" xfId="0" applyFont="1" applyBorder="1" applyAlignment="1">
      <alignment vertical="center" wrapText="1"/>
    </xf>
    <xf numFmtId="0" fontId="47" fillId="0" borderId="162" xfId="0" applyFont="1" applyBorder="1" applyAlignment="1">
      <alignment vertical="center" wrapText="1"/>
    </xf>
    <xf numFmtId="0" fontId="47" fillId="0" borderId="163" xfId="0" applyFont="1" applyBorder="1" applyAlignment="1">
      <alignment vertical="center" wrapText="1"/>
    </xf>
    <xf numFmtId="0" fontId="47" fillId="0" borderId="166" xfId="0" applyFont="1" applyBorder="1" applyAlignment="1">
      <alignment vertical="center" wrapText="1"/>
    </xf>
    <xf numFmtId="0" fontId="47" fillId="0" borderId="167" xfId="0" applyFont="1" applyBorder="1" applyAlignment="1">
      <alignment vertical="center" wrapText="1"/>
    </xf>
    <xf numFmtId="0" fontId="47" fillId="0" borderId="168" xfId="0" applyFont="1" applyBorder="1" applyAlignment="1">
      <alignment vertical="center" wrapText="1"/>
    </xf>
    <xf numFmtId="0" fontId="71" fillId="10" borderId="32" xfId="0" applyFont="1" applyFill="1" applyBorder="1" applyAlignment="1">
      <alignment horizontal="center" vertical="center" textRotation="90" wrapText="1"/>
    </xf>
    <xf numFmtId="0" fontId="70" fillId="10" borderId="15" xfId="0" applyFont="1" applyFill="1" applyBorder="1" applyAlignment="1">
      <alignment horizontal="center" vertical="center" textRotation="90" wrapText="1"/>
    </xf>
    <xf numFmtId="0" fontId="70" fillId="10" borderId="44" xfId="0" applyFont="1" applyFill="1" applyBorder="1" applyAlignment="1">
      <alignment horizontal="center" vertical="center" textRotation="90" wrapText="1"/>
    </xf>
    <xf numFmtId="0" fontId="71" fillId="0" borderId="29" xfId="0" applyFont="1" applyBorder="1" applyAlignment="1">
      <alignment horizontal="left" vertical="center" wrapText="1"/>
    </xf>
    <xf numFmtId="0" fontId="70" fillId="0" borderId="29" xfId="0" applyFont="1" applyBorder="1" applyAlignment="1">
      <alignment horizontal="left" vertical="center" wrapText="1"/>
    </xf>
    <xf numFmtId="0" fontId="0" fillId="0" borderId="29" xfId="0" applyBorder="1" applyAlignment="1">
      <alignment horizontal="left" vertical="center" wrapText="1"/>
    </xf>
    <xf numFmtId="0" fontId="71" fillId="0" borderId="2" xfId="0" applyFont="1" applyBorder="1" applyAlignment="1">
      <alignment horizontal="left" vertical="center" wrapText="1"/>
    </xf>
    <xf numFmtId="0" fontId="70" fillId="0" borderId="2" xfId="0" applyFont="1" applyBorder="1" applyAlignment="1">
      <alignment horizontal="left" vertical="center" wrapText="1"/>
    </xf>
    <xf numFmtId="0" fontId="71" fillId="0" borderId="3" xfId="0" applyFont="1" applyBorder="1" applyAlignment="1">
      <alignment horizontal="left" vertical="center" wrapText="1"/>
    </xf>
    <xf numFmtId="0" fontId="70" fillId="0" borderId="3" xfId="0" applyFont="1" applyBorder="1" applyAlignment="1">
      <alignment horizontal="left" vertical="center" wrapText="1"/>
    </xf>
    <xf numFmtId="0" fontId="71" fillId="0" borderId="29" xfId="0" applyFont="1" applyFill="1" applyBorder="1" applyAlignment="1">
      <alignment horizontal="left" vertical="center" wrapText="1"/>
    </xf>
    <xf numFmtId="0" fontId="70" fillId="0" borderId="29" xfId="0" applyFont="1" applyFill="1" applyBorder="1" applyAlignment="1">
      <alignment horizontal="left" vertical="center" wrapText="1"/>
    </xf>
    <xf numFmtId="0" fontId="71" fillId="10" borderId="90" xfId="0" applyFont="1" applyFill="1" applyBorder="1" applyAlignment="1">
      <alignment horizontal="center" vertical="center" textRotation="90" wrapText="1"/>
    </xf>
    <xf numFmtId="0" fontId="71" fillId="10" borderId="15" xfId="0" applyFont="1" applyFill="1" applyBorder="1" applyAlignment="1">
      <alignment horizontal="center" vertical="center" textRotation="90" wrapText="1"/>
    </xf>
    <xf numFmtId="0" fontId="71" fillId="10" borderId="11" xfId="0" applyFont="1" applyFill="1" applyBorder="1" applyAlignment="1">
      <alignment horizontal="center" vertical="center" textRotation="90" wrapText="1"/>
    </xf>
    <xf numFmtId="0" fontId="71" fillId="10" borderId="44" xfId="0" applyFont="1" applyFill="1" applyBorder="1" applyAlignment="1">
      <alignment horizontal="center" vertical="center" textRotation="90" wrapText="1"/>
    </xf>
    <xf numFmtId="0" fontId="71" fillId="0" borderId="162" xfId="0" applyFont="1" applyFill="1" applyBorder="1" applyAlignment="1">
      <alignment vertical="center" wrapText="1"/>
    </xf>
    <xf numFmtId="0" fontId="70" fillId="0" borderId="162" xfId="0" applyFont="1" applyFill="1" applyBorder="1" applyAlignment="1">
      <alignment vertical="center" wrapText="1"/>
    </xf>
    <xf numFmtId="0" fontId="70" fillId="0" borderId="162" xfId="0" applyFont="1" applyFill="1" applyBorder="1" applyAlignment="1">
      <alignment wrapText="1"/>
    </xf>
    <xf numFmtId="0" fontId="0" fillId="0" borderId="166" xfId="0" applyBorder="1" applyAlignment="1">
      <alignment wrapText="1"/>
    </xf>
    <xf numFmtId="0" fontId="0" fillId="0" borderId="167" xfId="0" applyBorder="1" applyAlignment="1">
      <alignment wrapText="1"/>
    </xf>
    <xf numFmtId="0" fontId="0" fillId="0" borderId="168" xfId="0" applyBorder="1" applyAlignment="1">
      <alignment wrapText="1"/>
    </xf>
    <xf numFmtId="0" fontId="70" fillId="10" borderId="11" xfId="0" applyFont="1" applyFill="1" applyBorder="1" applyAlignment="1">
      <alignment horizontal="center" vertical="center" textRotation="90" wrapText="1"/>
    </xf>
    <xf numFmtId="0" fontId="71" fillId="0" borderId="29" xfId="0" applyFont="1" applyFill="1" applyBorder="1" applyAlignment="1" applyProtection="1">
      <alignment horizontal="center" vertical="center" wrapText="1"/>
    </xf>
    <xf numFmtId="0" fontId="0" fillId="0" borderId="3" xfId="0" applyBorder="1" applyAlignment="1" applyProtection="1">
      <alignment wrapText="1"/>
    </xf>
    <xf numFmtId="0" fontId="80" fillId="0" borderId="34" xfId="0" applyFont="1" applyFill="1" applyBorder="1" applyAlignment="1" applyProtection="1">
      <alignment vertical="center" wrapText="1"/>
    </xf>
    <xf numFmtId="0" fontId="0" fillId="0" borderId="128" xfId="0" applyBorder="1" applyAlignment="1" applyProtection="1">
      <alignment vertical="center" wrapText="1"/>
    </xf>
    <xf numFmtId="0" fontId="82" fillId="8" borderId="109" xfId="0" applyFont="1" applyFill="1" applyBorder="1" applyAlignment="1" applyProtection="1">
      <alignment horizontal="left" vertical="center"/>
    </xf>
    <xf numFmtId="0" fontId="82" fillId="8" borderId="130" xfId="0" applyFont="1" applyFill="1" applyBorder="1" applyAlignment="1" applyProtection="1">
      <alignment horizontal="left" vertical="center"/>
    </xf>
    <xf numFmtId="0" fontId="0" fillId="0" borderId="110" xfId="0" applyBorder="1" applyAlignment="1" applyProtection="1">
      <alignment horizontal="left" vertical="center"/>
    </xf>
    <xf numFmtId="0" fontId="80" fillId="0" borderId="65" xfId="0" applyFont="1" applyBorder="1" applyAlignment="1" applyProtection="1">
      <alignment horizontal="left" vertical="center" wrapText="1"/>
    </xf>
    <xf numFmtId="0" fontId="81" fillId="0" borderId="62" xfId="0" applyFont="1" applyBorder="1" applyAlignment="1" applyProtection="1">
      <alignment horizontal="left" vertical="center" wrapText="1"/>
    </xf>
    <xf numFmtId="0" fontId="71" fillId="10" borderId="32" xfId="0" applyFont="1" applyFill="1" applyBorder="1" applyAlignment="1" applyProtection="1">
      <alignment horizontal="center" vertical="center" textRotation="90" wrapText="1"/>
    </xf>
    <xf numFmtId="0" fontId="70" fillId="10" borderId="15" xfId="0" applyFont="1" applyFill="1" applyBorder="1" applyAlignment="1" applyProtection="1">
      <alignment horizontal="center" vertical="center" textRotation="90" wrapText="1"/>
    </xf>
    <xf numFmtId="0" fontId="70" fillId="10" borderId="44" xfId="0" applyFont="1" applyFill="1" applyBorder="1" applyAlignment="1" applyProtection="1">
      <alignment horizontal="center" vertical="center" textRotation="90" wrapText="1"/>
    </xf>
    <xf numFmtId="0" fontId="80" fillId="0" borderId="8" xfId="0" applyFont="1" applyBorder="1" applyAlignment="1" applyProtection="1">
      <alignment horizontal="left" vertical="center" wrapText="1"/>
    </xf>
    <xf numFmtId="0" fontId="81" fillId="0" borderId="49" xfId="0" applyFont="1" applyBorder="1" applyAlignment="1" applyProtection="1">
      <alignment horizontal="left" vertical="center" wrapText="1"/>
    </xf>
    <xf numFmtId="0" fontId="80" fillId="0" borderId="66" xfId="0" applyFont="1" applyBorder="1" applyAlignment="1" applyProtection="1">
      <alignment horizontal="left" vertical="center" wrapText="1"/>
    </xf>
    <xf numFmtId="0" fontId="81" fillId="0" borderId="63" xfId="0" applyFont="1" applyBorder="1" applyAlignment="1" applyProtection="1">
      <alignment horizontal="left" vertical="center" wrapText="1"/>
    </xf>
    <xf numFmtId="0" fontId="80" fillId="0" borderId="66" xfId="0" applyFont="1" applyFill="1" applyBorder="1" applyAlignment="1" applyProtection="1">
      <alignment horizontal="left" vertical="center" wrapText="1"/>
    </xf>
    <xf numFmtId="0" fontId="80" fillId="0" borderId="65" xfId="0" applyFont="1" applyFill="1" applyBorder="1" applyAlignment="1" applyProtection="1">
      <alignment horizontal="left" vertical="center" wrapText="1"/>
    </xf>
    <xf numFmtId="0" fontId="80" fillId="0" borderId="8" xfId="0" applyFont="1" applyFill="1" applyBorder="1" applyAlignment="1" applyProtection="1">
      <alignment horizontal="left" vertical="center" wrapText="1"/>
    </xf>
    <xf numFmtId="0" fontId="71" fillId="10" borderId="15" xfId="0" applyFont="1" applyFill="1" applyBorder="1" applyAlignment="1" applyProtection="1">
      <alignment horizontal="center" vertical="center" textRotation="90" wrapText="1"/>
    </xf>
    <xf numFmtId="0" fontId="71" fillId="10" borderId="44" xfId="0" applyFont="1" applyFill="1" applyBorder="1" applyAlignment="1" applyProtection="1">
      <alignment horizontal="center" vertical="center" textRotation="90" wrapText="1"/>
    </xf>
    <xf numFmtId="0" fontId="71" fillId="10" borderId="90" xfId="0" applyFont="1" applyFill="1" applyBorder="1" applyAlignment="1" applyProtection="1">
      <alignment horizontal="center" vertical="center" textRotation="90" wrapText="1"/>
    </xf>
    <xf numFmtId="0" fontId="70" fillId="10" borderId="11" xfId="0" applyFont="1" applyFill="1" applyBorder="1" applyAlignment="1" applyProtection="1">
      <alignment horizontal="center" vertical="center" textRotation="90" wrapText="1"/>
    </xf>
    <xf numFmtId="0" fontId="80" fillId="0" borderId="126" xfId="0" applyFont="1" applyFill="1" applyBorder="1" applyAlignment="1" applyProtection="1">
      <alignment vertical="center" wrapText="1"/>
    </xf>
    <xf numFmtId="0" fontId="0" fillId="0" borderId="117" xfId="0" applyBorder="1" applyAlignment="1" applyProtection="1">
      <alignment vertical="center" wrapText="1"/>
    </xf>
    <xf numFmtId="0" fontId="80" fillId="0" borderId="129" xfId="0" applyFont="1" applyFill="1" applyBorder="1" applyAlignment="1" applyProtection="1">
      <alignment vertical="center" wrapText="1"/>
    </xf>
    <xf numFmtId="0" fontId="0" fillId="0" borderId="118" xfId="0" applyBorder="1" applyAlignment="1" applyProtection="1">
      <alignment vertical="center" wrapText="1"/>
    </xf>
    <xf numFmtId="0" fontId="80" fillId="0" borderId="136" xfId="0" applyFont="1" applyFill="1" applyBorder="1" applyAlignment="1" applyProtection="1">
      <alignment vertical="center" wrapText="1"/>
    </xf>
    <xf numFmtId="0" fontId="0" fillId="0" borderId="137" xfId="0" applyBorder="1" applyAlignment="1" applyProtection="1">
      <alignment vertical="center" wrapText="1"/>
    </xf>
    <xf numFmtId="0" fontId="71" fillId="2" borderId="44" xfId="0" applyFont="1" applyFill="1" applyBorder="1" applyAlignment="1" applyProtection="1">
      <alignment horizontal="center" vertical="center" wrapText="1"/>
    </xf>
    <xf numFmtId="0" fontId="71" fillId="2" borderId="2" xfId="0" applyFont="1" applyFill="1" applyBorder="1" applyAlignment="1" applyProtection="1">
      <alignment horizontal="center" vertical="center" wrapText="1"/>
    </xf>
    <xf numFmtId="0" fontId="70" fillId="2" borderId="3" xfId="0" applyFont="1" applyFill="1" applyBorder="1" applyAlignment="1" applyProtection="1">
      <alignment horizontal="center" vertical="center" wrapText="1"/>
    </xf>
    <xf numFmtId="0" fontId="71" fillId="10" borderId="11" xfId="0" applyFont="1" applyFill="1" applyBorder="1" applyAlignment="1" applyProtection="1">
      <alignment horizontal="center" vertical="center" textRotation="90" wrapText="1"/>
    </xf>
    <xf numFmtId="0" fontId="84" fillId="8" borderId="112" xfId="0" applyFont="1" applyFill="1" applyBorder="1" applyAlignment="1" applyProtection="1">
      <alignment horizontal="left" vertical="center" wrapText="1"/>
    </xf>
    <xf numFmtId="0" fontId="85" fillId="0" borderId="131" xfId="0" applyFont="1" applyBorder="1" applyAlignment="1" applyProtection="1">
      <alignment horizontal="left" vertical="center" wrapText="1"/>
    </xf>
    <xf numFmtId="0" fontId="85" fillId="0" borderId="120" xfId="0" applyFont="1" applyBorder="1" applyAlignment="1" applyProtection="1">
      <alignment horizontal="left" vertical="center" wrapText="1"/>
    </xf>
    <xf numFmtId="0" fontId="71" fillId="0" borderId="24" xfId="0" applyFont="1" applyBorder="1" applyAlignment="1" applyProtection="1">
      <alignment vertical="center" wrapText="1"/>
    </xf>
    <xf numFmtId="0" fontId="70" fillId="0" borderId="24" xfId="0" applyFont="1" applyBorder="1" applyAlignment="1" applyProtection="1">
      <alignment vertical="center" wrapText="1"/>
    </xf>
    <xf numFmtId="0" fontId="71" fillId="0" borderId="129" xfId="0" applyFont="1" applyBorder="1" applyAlignment="1" applyProtection="1">
      <alignment vertical="center"/>
    </xf>
    <xf numFmtId="0" fontId="0" fillId="0" borderId="118" xfId="0" applyBorder="1" applyAlignment="1" applyProtection="1">
      <alignment vertical="center"/>
    </xf>
    <xf numFmtId="0" fontId="71" fillId="0" borderId="126" xfId="0" applyFont="1" applyBorder="1" applyAlignment="1" applyProtection="1">
      <alignment vertical="center"/>
    </xf>
    <xf numFmtId="0" fontId="0" fillId="0" borderId="117" xfId="0" applyBorder="1" applyAlignment="1" applyProtection="1">
      <alignment vertical="center"/>
    </xf>
    <xf numFmtId="0" fontId="71" fillId="0" borderId="132" xfId="0" applyFont="1" applyBorder="1" applyAlignment="1" applyProtection="1">
      <alignment vertical="center"/>
    </xf>
    <xf numFmtId="0" fontId="0" fillId="0" borderId="133" xfId="0" applyBorder="1" applyAlignment="1" applyProtection="1">
      <alignment vertical="center"/>
    </xf>
    <xf numFmtId="0" fontId="71" fillId="0" borderId="134" xfId="0" applyFont="1" applyBorder="1" applyAlignment="1" applyProtection="1">
      <alignment vertical="center"/>
    </xf>
    <xf numFmtId="0" fontId="0" fillId="0" borderId="135" xfId="0" applyBorder="1" applyAlignment="1" applyProtection="1">
      <alignment vertical="center"/>
    </xf>
    <xf numFmtId="0" fontId="71" fillId="0" borderId="126" xfId="0" applyFont="1" applyFill="1" applyBorder="1" applyAlignment="1" applyProtection="1">
      <alignment vertical="center"/>
    </xf>
    <xf numFmtId="0" fontId="82" fillId="8" borderId="41" xfId="0" applyFont="1" applyFill="1" applyBorder="1" applyAlignment="1" applyProtection="1">
      <alignment horizontal="left" vertical="center"/>
    </xf>
    <xf numFmtId="0" fontId="82" fillId="8" borderId="97" xfId="0" applyFont="1" applyFill="1" applyBorder="1" applyAlignment="1" applyProtection="1">
      <alignment horizontal="left" vertical="center"/>
    </xf>
    <xf numFmtId="0" fontId="83" fillId="0" borderId="127" xfId="0" applyFont="1" applyBorder="1" applyAlignment="1" applyProtection="1">
      <alignment horizontal="left" vertical="center"/>
    </xf>
    <xf numFmtId="0" fontId="84" fillId="8" borderId="10" xfId="0" applyFont="1" applyFill="1" applyBorder="1" applyAlignment="1" applyProtection="1">
      <alignment horizontal="left" vertical="center" wrapText="1"/>
    </xf>
    <xf numFmtId="0" fontId="85" fillId="0" borderId="0" xfId="0" applyFont="1" applyBorder="1" applyAlignment="1" applyProtection="1">
      <alignment horizontal="left" vertical="center" wrapText="1"/>
    </xf>
    <xf numFmtId="0" fontId="85" fillId="0" borderId="49" xfId="0" applyFont="1" applyBorder="1" applyAlignment="1" applyProtection="1">
      <alignment horizontal="left" vertical="center" wrapText="1"/>
    </xf>
    <xf numFmtId="0" fontId="74" fillId="8" borderId="125" xfId="0" applyFont="1" applyFill="1" applyBorder="1" applyAlignment="1" applyProtection="1">
      <alignment vertical="center"/>
    </xf>
    <xf numFmtId="0" fontId="0" fillId="0" borderId="63" xfId="0" applyBorder="1" applyAlignment="1" applyProtection="1">
      <alignment vertical="center"/>
    </xf>
    <xf numFmtId="0" fontId="80" fillId="0" borderId="126" xfId="0" applyFont="1" applyBorder="1" applyAlignment="1" applyProtection="1">
      <alignment vertical="center" wrapText="1"/>
    </xf>
    <xf numFmtId="0" fontId="80" fillId="0" borderId="138" xfId="0" applyFont="1" applyFill="1" applyBorder="1" applyAlignment="1" applyProtection="1">
      <alignment horizontal="left" vertical="center" wrapText="1"/>
    </xf>
    <xf numFmtId="0" fontId="0" fillId="0" borderId="116" xfId="0" applyBorder="1" applyAlignment="1" applyProtection="1">
      <alignment horizontal="left" vertical="center" wrapText="1"/>
    </xf>
    <xf numFmtId="0" fontId="71" fillId="0" borderId="129" xfId="0" applyFont="1" applyFill="1" applyBorder="1" applyAlignment="1" applyProtection="1">
      <alignment vertical="center"/>
    </xf>
    <xf numFmtId="0" fontId="0" fillId="0" borderId="63" xfId="0" applyBorder="1" applyAlignment="1" applyProtection="1">
      <alignment horizontal="left" vertical="center" wrapText="1"/>
    </xf>
    <xf numFmtId="0" fontId="0" fillId="0" borderId="62" xfId="0" applyBorder="1" applyAlignment="1" applyProtection="1">
      <alignment horizontal="left" vertical="center" wrapText="1"/>
    </xf>
    <xf numFmtId="0" fontId="0" fillId="0" borderId="49" xfId="0" applyBorder="1" applyAlignment="1" applyProtection="1">
      <alignment horizontal="left" vertical="center" wrapText="1"/>
    </xf>
    <xf numFmtId="0" fontId="71" fillId="2" borderId="64" xfId="0" applyFont="1" applyFill="1" applyBorder="1" applyAlignment="1" applyProtection="1">
      <alignment horizontal="center" vertical="center" wrapText="1"/>
    </xf>
    <xf numFmtId="0" fontId="71" fillId="2" borderId="42" xfId="0" applyFont="1" applyFill="1" applyBorder="1" applyAlignment="1" applyProtection="1">
      <alignment horizontal="center" vertical="center" wrapText="1"/>
    </xf>
    <xf numFmtId="0" fontId="70" fillId="2" borderId="4" xfId="0" applyFont="1" applyFill="1" applyBorder="1" applyAlignment="1" applyProtection="1">
      <alignment horizontal="center" vertical="center" wrapText="1"/>
    </xf>
    <xf numFmtId="0" fontId="71" fillId="8" borderId="7" xfId="0" applyFont="1" applyFill="1" applyBorder="1" applyAlignment="1" applyProtection="1">
      <alignment horizontal="center" vertical="center" textRotation="90" wrapText="1"/>
    </xf>
    <xf numFmtId="0" fontId="71" fillId="8" borderId="6" xfId="0" applyFont="1" applyFill="1" applyBorder="1" applyAlignment="1" applyProtection="1">
      <alignment horizontal="center" vertical="center" textRotation="90" wrapText="1"/>
    </xf>
    <xf numFmtId="0" fontId="71" fillId="8" borderId="43" xfId="0" applyFont="1" applyFill="1" applyBorder="1" applyAlignment="1" applyProtection="1">
      <alignment horizontal="center" vertical="center" textRotation="90" wrapText="1"/>
    </xf>
    <xf numFmtId="0" fontId="71" fillId="8" borderId="87" xfId="0" applyFont="1" applyFill="1" applyBorder="1" applyAlignment="1" applyProtection="1">
      <alignment horizontal="center" vertical="center" textRotation="90" wrapText="1"/>
    </xf>
    <xf numFmtId="0" fontId="71" fillId="8" borderId="51" xfId="0" applyFont="1" applyFill="1" applyBorder="1" applyAlignment="1" applyProtection="1">
      <alignment horizontal="center" vertical="center" textRotation="90" wrapText="1"/>
    </xf>
    <xf numFmtId="0" fontId="80" fillId="8" borderId="7" xfId="0" applyFont="1" applyFill="1" applyBorder="1" applyAlignment="1" applyProtection="1">
      <alignment horizontal="center" vertical="center" textRotation="90" wrapText="1"/>
    </xf>
    <xf numFmtId="0" fontId="86" fillId="8" borderId="6" xfId="0" applyFont="1" applyFill="1" applyBorder="1" applyAlignment="1" applyProtection="1">
      <alignment horizontal="center" vertical="center" textRotation="90" wrapText="1"/>
    </xf>
    <xf numFmtId="0" fontId="86" fillId="8" borderId="43" xfId="0" applyFont="1" applyFill="1" applyBorder="1" applyAlignment="1" applyProtection="1">
      <alignment horizontal="center" vertical="center" textRotation="90" wrapText="1"/>
    </xf>
    <xf numFmtId="0" fontId="70" fillId="8" borderId="51" xfId="0" applyFont="1" applyFill="1" applyBorder="1" applyAlignment="1" applyProtection="1">
      <alignment horizontal="center" vertical="center" textRotation="90" wrapText="1"/>
    </xf>
    <xf numFmtId="0" fontId="80" fillId="0" borderId="34" xfId="0" applyFont="1" applyBorder="1" applyAlignment="1" applyProtection="1">
      <alignment vertical="center" wrapText="1"/>
    </xf>
    <xf numFmtId="0" fontId="80" fillId="0" borderId="129" xfId="0" applyFont="1" applyBorder="1" applyAlignment="1" applyProtection="1">
      <alignment vertical="center" wrapText="1"/>
    </xf>
    <xf numFmtId="0" fontId="49" fillId="2" borderId="77" xfId="0" applyFont="1" applyFill="1" applyBorder="1" applyAlignment="1">
      <alignment horizontal="center" vertical="center"/>
    </xf>
    <xf numFmtId="0" fontId="0" fillId="2" borderId="78" xfId="0" applyFill="1" applyBorder="1" applyAlignment="1">
      <alignment horizontal="center" vertical="center"/>
    </xf>
    <xf numFmtId="0" fontId="69" fillId="2" borderId="41" xfId="0" applyFont="1" applyFill="1" applyBorder="1" applyAlignment="1">
      <alignment horizontal="center" vertical="center" wrapText="1"/>
    </xf>
    <xf numFmtId="0" fontId="87" fillId="2" borderId="97" xfId="0" applyFont="1" applyFill="1" applyBorder="1" applyAlignment="1">
      <alignment horizontal="center" vertical="center" wrapText="1"/>
    </xf>
    <xf numFmtId="0" fontId="0" fillId="2" borderId="97" xfId="0" applyFill="1" applyBorder="1" applyAlignment="1"/>
    <xf numFmtId="0" fontId="0" fillId="2" borderId="9" xfId="0" applyFill="1" applyBorder="1" applyAlignment="1"/>
    <xf numFmtId="0" fontId="0" fillId="0" borderId="77" xfId="0" applyBorder="1" applyAlignment="1"/>
    <xf numFmtId="0" fontId="0" fillId="0" borderId="78" xfId="0" applyBorder="1" applyAlignment="1"/>
    <xf numFmtId="0" fontId="49" fillId="2" borderId="41" xfId="0" applyFont="1" applyFill="1" applyBorder="1" applyAlignment="1">
      <alignment horizontal="center" vertical="center"/>
    </xf>
    <xf numFmtId="0" fontId="49" fillId="0" borderId="97" xfId="0" applyFont="1" applyBorder="1" applyAlignment="1">
      <alignment horizontal="center" vertical="center"/>
    </xf>
    <xf numFmtId="0" fontId="49" fillId="0" borderId="9" xfId="0" applyFont="1" applyBorder="1" applyAlignment="1">
      <alignment horizontal="center" vertical="center"/>
    </xf>
    <xf numFmtId="0" fontId="65" fillId="0" borderId="67" xfId="0" applyFont="1" applyBorder="1" applyAlignment="1">
      <alignment horizontal="center" vertical="center" textRotation="90" wrapText="1"/>
    </xf>
    <xf numFmtId="0" fontId="0" fillId="0" borderId="67" xfId="0" applyBorder="1" applyAlignment="1">
      <alignment horizontal="center" vertical="center" textRotation="90" wrapText="1"/>
    </xf>
    <xf numFmtId="0" fontId="49" fillId="0" borderId="41" xfId="0" applyFont="1" applyFill="1" applyBorder="1" applyAlignment="1">
      <alignment horizontal="center" vertical="center"/>
    </xf>
    <xf numFmtId="0" fontId="49" fillId="0" borderId="97" xfId="0" applyFont="1" applyFill="1" applyBorder="1" applyAlignment="1">
      <alignment horizontal="center" vertical="center"/>
    </xf>
    <xf numFmtId="0" fontId="49" fillId="0" borderId="9" xfId="0" applyFont="1" applyFill="1" applyBorder="1" applyAlignment="1">
      <alignment horizontal="center" vertical="center"/>
    </xf>
    <xf numFmtId="0" fontId="65" fillId="0" borderId="95" xfId="0" applyFont="1" applyBorder="1" applyAlignment="1">
      <alignment horizontal="center" vertical="center" textRotation="90" wrapText="1"/>
    </xf>
    <xf numFmtId="0" fontId="0" fillId="0" borderId="139" xfId="0" applyBorder="1" applyAlignment="1">
      <alignment horizontal="center" vertical="center" textRotation="90" wrapText="1"/>
    </xf>
    <xf numFmtId="0" fontId="0" fillId="0" borderId="96" xfId="0" applyBorder="1" applyAlignment="1">
      <alignment horizontal="center" vertical="center" textRotation="90" wrapText="1"/>
    </xf>
    <xf numFmtId="0" fontId="88" fillId="2" borderId="41" xfId="0" applyFont="1" applyFill="1" applyBorder="1" applyAlignment="1">
      <alignment horizontal="center" vertical="center"/>
    </xf>
    <xf numFmtId="0" fontId="88" fillId="0" borderId="97" xfId="0" applyFont="1" applyBorder="1" applyAlignment="1">
      <alignment horizontal="center" vertical="center"/>
    </xf>
    <xf numFmtId="0" fontId="88" fillId="0" borderId="9" xfId="0" applyFont="1" applyBorder="1" applyAlignment="1">
      <alignment horizontal="center" vertical="center"/>
    </xf>
    <xf numFmtId="0" fontId="69" fillId="4" borderId="41" xfId="0" applyFont="1" applyFill="1" applyBorder="1" applyAlignment="1">
      <alignment horizontal="center" vertical="center" wrapText="1"/>
    </xf>
    <xf numFmtId="0" fontId="87" fillId="4" borderId="97" xfId="0" applyFont="1" applyFill="1" applyBorder="1" applyAlignment="1">
      <alignment horizontal="center" vertical="center" wrapText="1"/>
    </xf>
    <xf numFmtId="0" fontId="0" fillId="0" borderId="97" xfId="0" applyBorder="1" applyAlignment="1"/>
    <xf numFmtId="0" fontId="0" fillId="0" borderId="9" xfId="0" applyBorder="1" applyAlignment="1"/>
    <xf numFmtId="0" fontId="69" fillId="3" borderId="41" xfId="0" applyFont="1" applyFill="1" applyBorder="1" applyAlignment="1">
      <alignment horizontal="center" vertical="center" wrapText="1"/>
    </xf>
    <xf numFmtId="0" fontId="87" fillId="3" borderId="97" xfId="0" applyFont="1" applyFill="1" applyBorder="1" applyAlignment="1">
      <alignment horizontal="center" vertical="center" wrapText="1"/>
    </xf>
    <xf numFmtId="0" fontId="0" fillId="3" borderId="97" xfId="0" applyFill="1" applyBorder="1" applyAlignment="1"/>
    <xf numFmtId="0" fontId="65" fillId="0" borderId="77" xfId="0" applyFont="1" applyBorder="1" applyAlignment="1">
      <alignment horizontal="center" vertical="center" textRotation="90" wrapText="1"/>
    </xf>
    <xf numFmtId="0" fontId="65" fillId="0" borderId="76" xfId="0" applyFont="1" applyBorder="1" applyAlignment="1">
      <alignment horizontal="center" vertical="center" textRotation="90" wrapText="1"/>
    </xf>
    <xf numFmtId="0" fontId="0" fillId="0" borderId="78" xfId="0" applyBorder="1" applyAlignment="1">
      <alignment horizontal="center" vertical="center" textRotation="90" wrapText="1"/>
    </xf>
    <xf numFmtId="0" fontId="47" fillId="0" borderId="169" xfId="0" applyFont="1" applyBorder="1" applyAlignment="1">
      <alignment horizontal="center" vertical="center" wrapText="1"/>
    </xf>
    <xf numFmtId="0" fontId="0" fillId="0" borderId="170" xfId="0" applyBorder="1" applyAlignment="1">
      <alignment horizontal="center" vertical="center" wrapText="1"/>
    </xf>
    <xf numFmtId="0" fontId="0" fillId="0" borderId="171" xfId="0" applyBorder="1" applyAlignment="1">
      <alignment horizontal="center" vertical="center" wrapText="1"/>
    </xf>
    <xf numFmtId="0" fontId="49" fillId="8" borderId="79" xfId="0" applyFont="1" applyFill="1" applyBorder="1" applyAlignment="1">
      <alignment vertical="center" wrapText="1"/>
    </xf>
    <xf numFmtId="0" fontId="0" fillId="8" borderId="82" xfId="0" applyFill="1" applyBorder="1" applyAlignment="1">
      <alignment vertical="center" wrapText="1"/>
    </xf>
    <xf numFmtId="0" fontId="89" fillId="8" borderId="79" xfId="0" applyFont="1" applyFill="1" applyBorder="1" applyAlignment="1">
      <alignment vertical="center" wrapText="1"/>
    </xf>
    <xf numFmtId="0" fontId="52" fillId="0" borderId="41" xfId="0" applyFont="1" applyBorder="1" applyAlignment="1">
      <alignment horizontal="center" vertical="center"/>
    </xf>
    <xf numFmtId="0" fontId="53" fillId="0" borderId="9" xfId="0" applyFont="1" applyBorder="1" applyAlignment="1">
      <alignment horizontal="center" vertical="center"/>
    </xf>
    <xf numFmtId="0" fontId="52" fillId="0" borderId="10" xfId="0" applyFont="1" applyBorder="1" applyAlignment="1">
      <alignment horizontal="center" vertical="center"/>
    </xf>
    <xf numFmtId="0" fontId="53" fillId="0" borderId="59" xfId="0" applyFont="1" applyBorder="1" applyAlignment="1">
      <alignment horizontal="center" vertical="center"/>
    </xf>
    <xf numFmtId="0" fontId="47" fillId="0" borderId="175" xfId="0" applyFont="1" applyBorder="1" applyAlignment="1">
      <alignment horizontal="left" vertical="center" wrapText="1" indent="1"/>
    </xf>
    <xf numFmtId="0" fontId="47" fillId="0" borderId="176" xfId="0" applyFont="1" applyBorder="1" applyAlignment="1">
      <alignment horizontal="left" vertical="center" wrapText="1" indent="1"/>
    </xf>
    <xf numFmtId="0" fontId="0" fillId="0" borderId="176" xfId="0" applyBorder="1" applyAlignment="1">
      <alignment horizontal="left" vertical="center" wrapText="1" indent="1"/>
    </xf>
    <xf numFmtId="0" fontId="0" fillId="0" borderId="177" xfId="0" applyBorder="1" applyAlignment="1">
      <alignment horizontal="left" vertical="center" wrapText="1" indent="1"/>
    </xf>
    <xf numFmtId="0" fontId="47" fillId="0" borderId="178" xfId="0" applyFont="1" applyBorder="1" applyAlignment="1">
      <alignment horizontal="left" vertical="center" wrapText="1" indent="1"/>
    </xf>
    <xf numFmtId="0" fontId="47" fillId="0" borderId="179" xfId="0" applyFont="1" applyBorder="1" applyAlignment="1">
      <alignment horizontal="left" vertical="center" wrapText="1" indent="1"/>
    </xf>
    <xf numFmtId="0" fontId="0" fillId="0" borderId="179" xfId="0" applyBorder="1" applyAlignment="1">
      <alignment horizontal="left" vertical="center" wrapText="1" indent="1"/>
    </xf>
    <xf numFmtId="0" fontId="0" fillId="0" borderId="180" xfId="0" applyBorder="1" applyAlignment="1">
      <alignment horizontal="left" vertical="center" wrapText="1" indent="1"/>
    </xf>
    <xf numFmtId="0" fontId="49" fillId="8" borderId="79" xfId="0" applyFont="1" applyFill="1" applyBorder="1" applyAlignment="1">
      <alignment horizontal="left" vertical="center" wrapText="1"/>
    </xf>
    <xf numFmtId="0" fontId="0" fillId="8" borderId="82" xfId="0" applyFill="1" applyBorder="1" applyAlignment="1">
      <alignment horizontal="left" vertical="center" wrapText="1"/>
    </xf>
    <xf numFmtId="0" fontId="47" fillId="0" borderId="172" xfId="0" applyFont="1" applyFill="1" applyBorder="1" applyAlignment="1">
      <alignment horizontal="left" vertical="center" wrapText="1" indent="1"/>
    </xf>
    <xf numFmtId="0" fontId="0" fillId="0" borderId="173" xfId="0" applyBorder="1" applyAlignment="1">
      <alignment vertical="center" wrapText="1"/>
    </xf>
    <xf numFmtId="0" fontId="0" fillId="0" borderId="174" xfId="0" applyBorder="1" applyAlignment="1">
      <alignment vertical="center" wrapText="1"/>
    </xf>
    <xf numFmtId="0" fontId="47" fillId="0" borderId="172" xfId="0" applyFont="1" applyFill="1" applyBorder="1" applyAlignment="1">
      <alignment vertical="center" wrapText="1"/>
    </xf>
    <xf numFmtId="0" fontId="0" fillId="0" borderId="174" xfId="0" applyBorder="1" applyAlignment="1">
      <alignment vertical="center"/>
    </xf>
    <xf numFmtId="0" fontId="0" fillId="0" borderId="173" xfId="0" applyBorder="1" applyAlignment="1">
      <alignment horizontal="left" vertical="center" wrapText="1" indent="1"/>
    </xf>
    <xf numFmtId="0" fontId="90" fillId="0" borderId="2" xfId="0" applyFont="1" applyBorder="1" applyAlignment="1">
      <alignment horizontal="center" vertical="center" wrapText="1"/>
    </xf>
    <xf numFmtId="0" fontId="66" fillId="0" borderId="3" xfId="0" applyFont="1" applyBorder="1" applyAlignment="1">
      <alignment horizontal="center" vertical="center" wrapText="1"/>
    </xf>
    <xf numFmtId="0" fontId="47" fillId="0" borderId="1" xfId="0" applyFont="1" applyBorder="1" applyAlignment="1">
      <alignment horizontal="center" vertical="center"/>
    </xf>
    <xf numFmtId="0" fontId="0" fillId="0" borderId="40" xfId="0" applyBorder="1" applyAlignment="1">
      <alignment horizontal="center" vertical="center"/>
    </xf>
    <xf numFmtId="0" fontId="65" fillId="0" borderId="79" xfId="0" applyFont="1" applyBorder="1" applyAlignment="1">
      <alignment horizontal="center" vertical="center" wrapText="1"/>
    </xf>
    <xf numFmtId="0" fontId="0" fillId="0" borderId="56" xfId="0" applyBorder="1" applyAlignment="1">
      <alignment horizontal="center" vertical="center" wrapText="1"/>
    </xf>
    <xf numFmtId="0" fontId="0" fillId="0" borderId="82" xfId="0" applyBorder="1" applyAlignment="1">
      <alignment horizontal="center" vertical="center" wrapText="1"/>
    </xf>
    <xf numFmtId="0" fontId="47" fillId="0" borderId="140" xfId="0" applyFont="1" applyBorder="1" applyAlignment="1">
      <alignment horizontal="left" vertical="center" wrapText="1"/>
    </xf>
    <xf numFmtId="0" fontId="0" fillId="0" borderId="128" xfId="0" applyBorder="1" applyAlignment="1">
      <alignment horizontal="left" vertical="center" wrapText="1"/>
    </xf>
    <xf numFmtId="0" fontId="0" fillId="0" borderId="141" xfId="0" applyBorder="1" applyAlignment="1">
      <alignment horizontal="left" vertical="center" wrapText="1"/>
    </xf>
    <xf numFmtId="0" fontId="47" fillId="0" borderId="127" xfId="0" applyFont="1" applyBorder="1" applyAlignment="1">
      <alignment horizontal="left"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49" xfId="0" applyBorder="1" applyAlignment="1">
      <alignment horizontal="left" vertical="center"/>
    </xf>
    <xf numFmtId="0" fontId="0" fillId="0" borderId="50" xfId="0" applyBorder="1" applyAlignment="1">
      <alignment horizontal="left" vertical="center"/>
    </xf>
    <xf numFmtId="0" fontId="47" fillId="2" borderId="41" xfId="0" applyFont="1" applyFill="1" applyBorder="1" applyAlignment="1">
      <alignment horizontal="center" vertical="center" wrapText="1"/>
    </xf>
    <xf numFmtId="0" fontId="0" fillId="0" borderId="97" xfId="0" applyBorder="1" applyAlignment="1">
      <alignment vertical="center" wrapText="1"/>
    </xf>
    <xf numFmtId="0" fontId="0" fillId="0" borderId="9" xfId="0" applyBorder="1" applyAlignment="1">
      <alignment vertical="center" wrapText="1"/>
    </xf>
    <xf numFmtId="0" fontId="47" fillId="0" borderId="10" xfId="0" applyFont="1" applyBorder="1" applyAlignment="1">
      <alignment horizontal="left" vertical="center" wrapText="1"/>
    </xf>
    <xf numFmtId="0" fontId="0" fillId="0" borderId="0" xfId="0" applyAlignment="1">
      <alignment horizontal="left" vertical="center" wrapText="1"/>
    </xf>
    <xf numFmtId="0" fontId="0" fillId="0" borderId="0" xfId="0" applyAlignment="1"/>
    <xf numFmtId="0" fontId="0" fillId="0" borderId="10" xfId="0" applyBorder="1" applyAlignment="1">
      <alignment horizontal="left" vertical="center" wrapText="1"/>
    </xf>
    <xf numFmtId="0" fontId="47" fillId="0" borderId="2" xfId="0" applyFont="1" applyBorder="1" applyAlignment="1">
      <alignment horizontal="center" vertical="center"/>
    </xf>
    <xf numFmtId="0" fontId="0" fillId="0" borderId="3" xfId="0" applyBorder="1" applyAlignment="1">
      <alignment horizontal="center" vertical="center"/>
    </xf>
    <xf numFmtId="0" fontId="90" fillId="0" borderId="42" xfId="0" applyFont="1" applyFill="1" applyBorder="1" applyAlignment="1">
      <alignment horizontal="center" vertical="center" wrapText="1"/>
    </xf>
    <xf numFmtId="0" fontId="66" fillId="0" borderId="4" xfId="0" applyFont="1" applyFill="1" applyBorder="1" applyAlignment="1">
      <alignment horizontal="center" vertical="center" wrapText="1"/>
    </xf>
    <xf numFmtId="0" fontId="47" fillId="0" borderId="97"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140" xfId="0" applyFont="1" applyFill="1" applyBorder="1" applyAlignment="1">
      <alignment horizontal="left" vertical="center" wrapText="1"/>
    </xf>
    <xf numFmtId="0" fontId="47" fillId="0" borderId="127" xfId="0" applyFont="1" applyFill="1" applyBorder="1" applyAlignment="1">
      <alignment horizontal="left" vertical="center" wrapText="1"/>
    </xf>
    <xf numFmtId="0" fontId="0" fillId="0" borderId="128" xfId="0" applyBorder="1" applyAlignment="1">
      <alignment wrapText="1"/>
    </xf>
    <xf numFmtId="0" fontId="0" fillId="0" borderId="141" xfId="0" applyBorder="1" applyAlignment="1">
      <alignment wrapText="1"/>
    </xf>
    <xf numFmtId="0" fontId="49" fillId="0" borderId="97" xfId="0" applyFont="1" applyBorder="1" applyAlignment="1">
      <alignment horizontal="left" vertical="center" wrapText="1"/>
    </xf>
    <xf numFmtId="0" fontId="91" fillId="0" borderId="127" xfId="0" applyFont="1" applyBorder="1" applyAlignment="1">
      <alignment horizontal="left" vertical="center" wrapText="1"/>
    </xf>
    <xf numFmtId="0" fontId="91" fillId="0" borderId="60" xfId="0" applyFont="1" applyBorder="1" applyAlignment="1">
      <alignment horizontal="left" vertical="center" wrapText="1"/>
    </xf>
    <xf numFmtId="0" fontId="91" fillId="0" borderId="50" xfId="0" applyFont="1" applyBorder="1" applyAlignment="1">
      <alignment horizontal="left" vertical="center" wrapText="1"/>
    </xf>
    <xf numFmtId="0" fontId="47" fillId="0" borderId="57" xfId="0" applyFont="1" applyBorder="1" applyAlignment="1">
      <alignment horizontal="center" vertical="center" wrapText="1"/>
    </xf>
    <xf numFmtId="0" fontId="47" fillId="0" borderId="116" xfId="0" applyFont="1" applyBorder="1" applyAlignment="1">
      <alignment horizontal="center" vertical="center" wrapText="1"/>
    </xf>
    <xf numFmtId="0" fontId="47" fillId="0" borderId="44" xfId="0" applyFont="1" applyFill="1" applyBorder="1" applyAlignment="1">
      <alignment horizontal="center" vertical="center" wrapText="1"/>
    </xf>
    <xf numFmtId="0" fontId="0" fillId="0" borderId="32" xfId="0" applyBorder="1" applyAlignment="1">
      <alignment horizontal="center" vertical="center" wrapText="1"/>
    </xf>
    <xf numFmtId="0" fontId="47" fillId="0" borderId="64"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127" xfId="0" applyFont="1" applyFill="1" applyBorder="1" applyAlignment="1">
      <alignment horizontal="center" vertical="center" wrapText="1"/>
    </xf>
    <xf numFmtId="0" fontId="47" fillId="0" borderId="50" xfId="0" applyFont="1" applyFill="1" applyBorder="1" applyAlignment="1">
      <alignment horizontal="center" vertical="center" wrapText="1"/>
    </xf>
    <xf numFmtId="0" fontId="0" fillId="0" borderId="14" xfId="0" applyBorder="1" applyAlignment="1">
      <alignment horizontal="center" vertical="center" wrapText="1"/>
    </xf>
    <xf numFmtId="0" fontId="47" fillId="0" borderId="2" xfId="0" applyFont="1" applyFill="1" applyBorder="1" applyAlignment="1">
      <alignment horizontal="center" vertical="center" wrapText="1"/>
    </xf>
    <xf numFmtId="0" fontId="47" fillId="0" borderId="44" xfId="0" applyFont="1" applyBorder="1" applyAlignment="1">
      <alignment horizontal="left" vertical="center" wrapText="1"/>
    </xf>
    <xf numFmtId="0" fontId="0" fillId="0" borderId="2" xfId="0" applyBorder="1" applyAlignment="1">
      <alignment horizontal="left" vertical="center"/>
    </xf>
    <xf numFmtId="0" fontId="0" fillId="0" borderId="32" xfId="0" applyBorder="1" applyAlignment="1">
      <alignment horizontal="left" vertical="center"/>
    </xf>
    <xf numFmtId="0" fontId="69" fillId="0" borderId="97" xfId="0" applyFont="1" applyBorder="1" applyAlignment="1">
      <alignment horizontal="left" vertical="center" wrapText="1"/>
    </xf>
    <xf numFmtId="0" fontId="0" fillId="0" borderId="127" xfId="0" applyBorder="1" applyAlignment="1">
      <alignment horizontal="left" vertical="center" wrapText="1"/>
    </xf>
    <xf numFmtId="0" fontId="0" fillId="0" borderId="60" xfId="0" applyBorder="1" applyAlignment="1">
      <alignment horizontal="left" vertical="center" wrapText="1"/>
    </xf>
    <xf numFmtId="0" fontId="47" fillId="0" borderId="30" xfId="0" applyFont="1" applyFill="1" applyBorder="1" applyAlignment="1">
      <alignment horizontal="left" vertical="center" wrapText="1"/>
    </xf>
    <xf numFmtId="0" fontId="0" fillId="0" borderId="18" xfId="0" applyBorder="1" applyAlignment="1">
      <alignment horizontal="left" vertical="center" wrapText="1"/>
    </xf>
    <xf numFmtId="0" fontId="0" fillId="0" borderId="27" xfId="0" applyBorder="1" applyAlignment="1">
      <alignment horizontal="left" vertical="center" wrapText="1"/>
    </xf>
    <xf numFmtId="0" fontId="47" fillId="0" borderId="44" xfId="0" applyFont="1" applyFill="1" applyBorder="1" applyAlignment="1">
      <alignment horizontal="left" vertical="center" wrapText="1"/>
    </xf>
    <xf numFmtId="0" fontId="0" fillId="0" borderId="32" xfId="0" applyBorder="1" applyAlignment="1">
      <alignment horizontal="left" vertical="center" wrapText="1"/>
    </xf>
    <xf numFmtId="0" fontId="47" fillId="0" borderId="30" xfId="0" applyFont="1" applyBorder="1" applyAlignment="1">
      <alignment horizontal="left" vertical="center" wrapText="1"/>
    </xf>
    <xf numFmtId="0" fontId="0" fillId="0" borderId="18" xfId="0" applyBorder="1" applyAlignment="1">
      <alignment wrapText="1"/>
    </xf>
    <xf numFmtId="0" fontId="0" fillId="0" borderId="27" xfId="0" applyBorder="1" applyAlignment="1">
      <alignment wrapText="1"/>
    </xf>
  </cellXfs>
  <cellStyles count="4">
    <cellStyle name="Comma" xfId="1" builtinId="3"/>
    <cellStyle name="Normal" xfId="0" builtinId="0"/>
    <cellStyle name="Normal 2" xfId="2"/>
    <cellStyle name="Percent" xfId="3"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b="1" i="0" u="none" strike="noStrike" baseline="0">
                <a:solidFill>
                  <a:srgbClr val="000000"/>
                </a:solidFill>
                <a:latin typeface="Calibri"/>
                <a:ea typeface="Calibri"/>
                <a:cs typeface="Calibri"/>
              </a:defRPr>
            </a:pPr>
            <a:r>
              <a:rPr lang="en-US"/>
              <a:t>System NPV 20 Years</a:t>
            </a:r>
          </a:p>
        </c:rich>
      </c:tx>
      <c:layout/>
      <c:overlay val="0"/>
    </c:title>
    <c:autoTitleDeleted val="0"/>
    <c:plotArea>
      <c:layout>
        <c:manualLayout>
          <c:layoutTarget val="inner"/>
          <c:xMode val="edge"/>
          <c:yMode val="edge"/>
          <c:x val="0.159931920373224"/>
          <c:y val="0.0858539557555305"/>
          <c:w val="0.710624960418822"/>
          <c:h val="0.504535796057408"/>
        </c:manualLayout>
      </c:layout>
      <c:barChart>
        <c:barDir val="col"/>
        <c:grouping val="stacked"/>
        <c:varyColors val="0"/>
        <c:ser>
          <c:idx val="3"/>
          <c:order val="0"/>
          <c:tx>
            <c:v>NPV Capital &amp; Replacement Costs (Net of Residual Value)</c:v>
          </c:tx>
          <c:invertIfNegative val="0"/>
          <c:cat>
            <c:strRef>
              <c:f>'NPV Summary'!$O$45:$O$58</c:f>
              <c:strCache>
                <c:ptCount val="14"/>
                <c:pt idx="0">
                  <c:v>1. Central Wood Boiler w/ underfloor heating</c:v>
                </c:pt>
                <c:pt idx="1">
                  <c:v>2. Central Wood Boiler w/ radiators</c:v>
                </c:pt>
                <c:pt idx="2">
                  <c:v>3. Central Wood Boiler w/ fan coils</c:v>
                </c:pt>
                <c:pt idx="3">
                  <c:v>4. Air-Source Heat Pump w/ underfloor heating</c:v>
                </c:pt>
                <c:pt idx="4">
                  <c:v>5. Air-Source Heat Pump w/ low temp' radiators</c:v>
                </c:pt>
                <c:pt idx="5">
                  <c:v>6. Air-Source Heat Pump w/ fan coils</c:v>
                </c:pt>
                <c:pt idx="6">
                  <c:v>7. Individual Split A/C Units</c:v>
                </c:pt>
                <c:pt idx="7">
                  <c:v>8. Ground-Source Heat Pump w/ Underfloor Heating</c:v>
                </c:pt>
                <c:pt idx="8">
                  <c:v>9. Ground-Source Heat Pump w/ Radiators</c:v>
                </c:pt>
                <c:pt idx="9">
                  <c:v>10. Ground-Source Heat Pump w/ Fan Coils</c:v>
                </c:pt>
                <c:pt idx="10">
                  <c:v>11. Packaged Ducted A/C Units</c:v>
                </c:pt>
                <c:pt idx="11">
                  <c:v>12. VRF Multi Split System</c:v>
                </c:pt>
                <c:pt idx="12">
                  <c:v>13. Hybrid VRF Multi Split System</c:v>
                </c:pt>
                <c:pt idx="13">
                  <c:v>14. Electric Radiant Heaters</c:v>
                </c:pt>
              </c:strCache>
            </c:strRef>
          </c:cat>
          <c:val>
            <c:numRef>
              <c:f>'NPV Summary'!$S$45:$S$58</c:f>
              <c:numCache>
                <c:formatCode>#,##0</c:formatCode>
                <c:ptCount val="14"/>
                <c:pt idx="0">
                  <c:v>0.0</c:v>
                </c:pt>
                <c:pt idx="1">
                  <c:v>0.0</c:v>
                </c:pt>
                <c:pt idx="2">
                  <c:v>0.0</c:v>
                </c:pt>
                <c:pt idx="3">
                  <c:v>0.0</c:v>
                </c:pt>
                <c:pt idx="4">
                  <c:v>284906.6757340764</c:v>
                </c:pt>
                <c:pt idx="5">
                  <c:v>358573.3855390154</c:v>
                </c:pt>
                <c:pt idx="6">
                  <c:v>330852.2169758555</c:v>
                </c:pt>
                <c:pt idx="7">
                  <c:v>0.0</c:v>
                </c:pt>
                <c:pt idx="8">
                  <c:v>0.0</c:v>
                </c:pt>
                <c:pt idx="9">
                  <c:v>0.0</c:v>
                </c:pt>
                <c:pt idx="10">
                  <c:v>0.0</c:v>
                </c:pt>
                <c:pt idx="11">
                  <c:v>346791.5988815294</c:v>
                </c:pt>
                <c:pt idx="12">
                  <c:v>450091.224080283</c:v>
                </c:pt>
                <c:pt idx="13">
                  <c:v>194691.3230988573</c:v>
                </c:pt>
              </c:numCache>
            </c:numRef>
          </c:val>
        </c:ser>
        <c:ser>
          <c:idx val="0"/>
          <c:order val="1"/>
          <c:tx>
            <c:v>NPV Maintenance Costs</c:v>
          </c:tx>
          <c:spPr>
            <a:solidFill>
              <a:srgbClr val="F7C578"/>
            </a:solidFill>
          </c:spPr>
          <c:invertIfNegative val="0"/>
          <c:cat>
            <c:strRef>
              <c:f>'NPV Summary'!$O$45:$O$58</c:f>
              <c:strCache>
                <c:ptCount val="14"/>
                <c:pt idx="0">
                  <c:v>1. Central Wood Boiler w/ underfloor heating</c:v>
                </c:pt>
                <c:pt idx="1">
                  <c:v>2. Central Wood Boiler w/ radiators</c:v>
                </c:pt>
                <c:pt idx="2">
                  <c:v>3. Central Wood Boiler w/ fan coils</c:v>
                </c:pt>
                <c:pt idx="3">
                  <c:v>4. Air-Source Heat Pump w/ underfloor heating</c:v>
                </c:pt>
                <c:pt idx="4">
                  <c:v>5. Air-Source Heat Pump w/ low temp' radiators</c:v>
                </c:pt>
                <c:pt idx="5">
                  <c:v>6. Air-Source Heat Pump w/ fan coils</c:v>
                </c:pt>
                <c:pt idx="6">
                  <c:v>7. Individual Split A/C Units</c:v>
                </c:pt>
                <c:pt idx="7">
                  <c:v>8. Ground-Source Heat Pump w/ Underfloor Heating</c:v>
                </c:pt>
                <c:pt idx="8">
                  <c:v>9. Ground-Source Heat Pump w/ Radiators</c:v>
                </c:pt>
                <c:pt idx="9">
                  <c:v>10. Ground-Source Heat Pump w/ Fan Coils</c:v>
                </c:pt>
                <c:pt idx="10">
                  <c:v>11. Packaged Ducted A/C Units</c:v>
                </c:pt>
                <c:pt idx="11">
                  <c:v>12. VRF Multi Split System</c:v>
                </c:pt>
                <c:pt idx="12">
                  <c:v>13. Hybrid VRF Multi Split System</c:v>
                </c:pt>
                <c:pt idx="13">
                  <c:v>14. Electric Radiant Heaters</c:v>
                </c:pt>
              </c:strCache>
            </c:strRef>
          </c:cat>
          <c:val>
            <c:numRef>
              <c:f>'NPV Summary'!$U$45:$U$58</c:f>
              <c:numCache>
                <c:formatCode>#,##0</c:formatCode>
                <c:ptCount val="14"/>
                <c:pt idx="0">
                  <c:v>0.0</c:v>
                </c:pt>
                <c:pt idx="1">
                  <c:v>0.0</c:v>
                </c:pt>
                <c:pt idx="2">
                  <c:v>0.0</c:v>
                </c:pt>
                <c:pt idx="3">
                  <c:v>0.0</c:v>
                </c:pt>
                <c:pt idx="4">
                  <c:v>46715.82177590065</c:v>
                </c:pt>
                <c:pt idx="5">
                  <c:v>57317.99409383556</c:v>
                </c:pt>
                <c:pt idx="6">
                  <c:v>37183.25365937337</c:v>
                </c:pt>
                <c:pt idx="7">
                  <c:v>0.0</c:v>
                </c:pt>
                <c:pt idx="8">
                  <c:v>0.0</c:v>
                </c:pt>
                <c:pt idx="9">
                  <c:v>0.0</c:v>
                </c:pt>
                <c:pt idx="10">
                  <c:v>0.0</c:v>
                </c:pt>
                <c:pt idx="11">
                  <c:v>48689.53060625618</c:v>
                </c:pt>
                <c:pt idx="12">
                  <c:v>71359.37514997163</c:v>
                </c:pt>
                <c:pt idx="13">
                  <c:v>13294.65906624725</c:v>
                </c:pt>
              </c:numCache>
            </c:numRef>
          </c:val>
        </c:ser>
        <c:ser>
          <c:idx val="1"/>
          <c:order val="2"/>
          <c:tx>
            <c:v>NPV Fuel Costs</c:v>
          </c:tx>
          <c:spPr>
            <a:solidFill>
              <a:srgbClr val="DF6B67"/>
            </a:solidFill>
          </c:spPr>
          <c:invertIfNegative val="0"/>
          <c:cat>
            <c:strRef>
              <c:f>'NPV Summary'!$O$45:$O$58</c:f>
              <c:strCache>
                <c:ptCount val="14"/>
                <c:pt idx="0">
                  <c:v>1. Central Wood Boiler w/ underfloor heating</c:v>
                </c:pt>
                <c:pt idx="1">
                  <c:v>2. Central Wood Boiler w/ radiators</c:v>
                </c:pt>
                <c:pt idx="2">
                  <c:v>3. Central Wood Boiler w/ fan coils</c:v>
                </c:pt>
                <c:pt idx="3">
                  <c:v>4. Air-Source Heat Pump w/ underfloor heating</c:v>
                </c:pt>
                <c:pt idx="4">
                  <c:v>5. Air-Source Heat Pump w/ low temp' radiators</c:v>
                </c:pt>
                <c:pt idx="5">
                  <c:v>6. Air-Source Heat Pump w/ fan coils</c:v>
                </c:pt>
                <c:pt idx="6">
                  <c:v>7. Individual Split A/C Units</c:v>
                </c:pt>
                <c:pt idx="7">
                  <c:v>8. Ground-Source Heat Pump w/ Underfloor Heating</c:v>
                </c:pt>
                <c:pt idx="8">
                  <c:v>9. Ground-Source Heat Pump w/ Radiators</c:v>
                </c:pt>
                <c:pt idx="9">
                  <c:v>10. Ground-Source Heat Pump w/ Fan Coils</c:v>
                </c:pt>
                <c:pt idx="10">
                  <c:v>11. Packaged Ducted A/C Units</c:v>
                </c:pt>
                <c:pt idx="11">
                  <c:v>12. VRF Multi Split System</c:v>
                </c:pt>
                <c:pt idx="12">
                  <c:v>13. Hybrid VRF Multi Split System</c:v>
                </c:pt>
                <c:pt idx="13">
                  <c:v>14. Electric Radiant Heaters</c:v>
                </c:pt>
              </c:strCache>
            </c:strRef>
          </c:cat>
          <c:val>
            <c:numRef>
              <c:f>'NPV Summary'!$W$45:$W$58</c:f>
              <c:numCache>
                <c:formatCode>#,##0</c:formatCode>
                <c:ptCount val="14"/>
                <c:pt idx="0">
                  <c:v>0.0</c:v>
                </c:pt>
                <c:pt idx="1">
                  <c:v>0.0</c:v>
                </c:pt>
                <c:pt idx="2">
                  <c:v>0.0</c:v>
                </c:pt>
                <c:pt idx="3">
                  <c:v>0.0</c:v>
                </c:pt>
                <c:pt idx="4">
                  <c:v>8578.114533123551</c:v>
                </c:pt>
                <c:pt idx="5">
                  <c:v>8578.114533123551</c:v>
                </c:pt>
                <c:pt idx="6">
                  <c:v>8762.590114481045</c:v>
                </c:pt>
                <c:pt idx="7">
                  <c:v>0.0</c:v>
                </c:pt>
                <c:pt idx="8">
                  <c:v>0.0</c:v>
                </c:pt>
                <c:pt idx="9">
                  <c:v>0.0</c:v>
                </c:pt>
                <c:pt idx="10">
                  <c:v>0.0</c:v>
                </c:pt>
                <c:pt idx="11">
                  <c:v>8578.114533123551</c:v>
                </c:pt>
                <c:pt idx="12">
                  <c:v>8578.114533123551</c:v>
                </c:pt>
                <c:pt idx="13">
                  <c:v>30669.06540068365</c:v>
                </c:pt>
              </c:numCache>
            </c:numRef>
          </c:val>
        </c:ser>
        <c:ser>
          <c:idx val="2"/>
          <c:order val="3"/>
          <c:tx>
            <c:v>NPV Residual Value</c:v>
          </c:tx>
          <c:spPr>
            <a:solidFill>
              <a:srgbClr val="6BC0E1"/>
            </a:solidFill>
          </c:spPr>
          <c:invertIfNegative val="0"/>
          <c:cat>
            <c:strRef>
              <c:f>'NPV Summary'!$O$45:$O$58</c:f>
              <c:strCache>
                <c:ptCount val="14"/>
                <c:pt idx="0">
                  <c:v>1. Central Wood Boiler w/ underfloor heating</c:v>
                </c:pt>
                <c:pt idx="1">
                  <c:v>2. Central Wood Boiler w/ radiators</c:v>
                </c:pt>
                <c:pt idx="2">
                  <c:v>3. Central Wood Boiler w/ fan coils</c:v>
                </c:pt>
                <c:pt idx="3">
                  <c:v>4. Air-Source Heat Pump w/ underfloor heating</c:v>
                </c:pt>
                <c:pt idx="4">
                  <c:v>5. Air-Source Heat Pump w/ low temp' radiators</c:v>
                </c:pt>
                <c:pt idx="5">
                  <c:v>6. Air-Source Heat Pump w/ fan coils</c:v>
                </c:pt>
                <c:pt idx="6">
                  <c:v>7. Individual Split A/C Units</c:v>
                </c:pt>
                <c:pt idx="7">
                  <c:v>8. Ground-Source Heat Pump w/ Underfloor Heating</c:v>
                </c:pt>
                <c:pt idx="8">
                  <c:v>9. Ground-Source Heat Pump w/ Radiators</c:v>
                </c:pt>
                <c:pt idx="9">
                  <c:v>10. Ground-Source Heat Pump w/ Fan Coils</c:v>
                </c:pt>
                <c:pt idx="10">
                  <c:v>11. Packaged Ducted A/C Units</c:v>
                </c:pt>
                <c:pt idx="11">
                  <c:v>12. VRF Multi Split System</c:v>
                </c:pt>
                <c:pt idx="12">
                  <c:v>13. Hybrid VRF Multi Split System</c:v>
                </c:pt>
                <c:pt idx="13">
                  <c:v>14. Electric Radiant Heaters</c:v>
                </c:pt>
              </c:strCache>
            </c:strRef>
          </c:cat>
          <c:val>
            <c:numRef>
              <c:f>'NPV Summary'!$Y$45:$Y$58</c:f>
              <c:numCache>
                <c:formatCode>#,##0_ ;\-#,##0\ </c:formatCode>
                <c:ptCount val="14"/>
                <c:pt idx="0">
                  <c:v>0.0</c:v>
                </c:pt>
                <c:pt idx="1">
                  <c:v>0.0</c:v>
                </c:pt>
                <c:pt idx="2">
                  <c:v>0.0</c:v>
                </c:pt>
                <c:pt idx="3">
                  <c:v>0.0</c:v>
                </c:pt>
                <c:pt idx="4">
                  <c:v>-79712.12562763964</c:v>
                </c:pt>
                <c:pt idx="5">
                  <c:v>-130403.7610740583</c:v>
                </c:pt>
                <c:pt idx="6">
                  <c:v>0.0</c:v>
                </c:pt>
                <c:pt idx="7">
                  <c:v>0.0</c:v>
                </c:pt>
                <c:pt idx="8">
                  <c:v>0.0</c:v>
                </c:pt>
                <c:pt idx="9">
                  <c:v>0.0</c:v>
                </c:pt>
                <c:pt idx="10">
                  <c:v>0.0</c:v>
                </c:pt>
                <c:pt idx="11">
                  <c:v>-70855.22278012405</c:v>
                </c:pt>
                <c:pt idx="12">
                  <c:v>-91961.0338210122</c:v>
                </c:pt>
                <c:pt idx="13">
                  <c:v>-19346.99345414736</c:v>
                </c:pt>
              </c:numCache>
            </c:numRef>
          </c:val>
        </c:ser>
        <c:dLbls>
          <c:showLegendKey val="0"/>
          <c:showVal val="0"/>
          <c:showCatName val="0"/>
          <c:showSerName val="0"/>
          <c:showPercent val="0"/>
          <c:showBubbleSize val="0"/>
        </c:dLbls>
        <c:gapWidth val="150"/>
        <c:overlap val="100"/>
        <c:axId val="-2133480376"/>
        <c:axId val="-2133933896"/>
      </c:barChart>
      <c:catAx>
        <c:axId val="-2133480376"/>
        <c:scaling>
          <c:orientation val="minMax"/>
        </c:scaling>
        <c:delete val="0"/>
        <c:axPos val="b"/>
        <c:numFmt formatCode="General" sourceLinked="1"/>
        <c:majorTickMark val="out"/>
        <c:minorTickMark val="none"/>
        <c:tickLblPos val="nextTo"/>
        <c:txPr>
          <a:bodyPr rot="-5400000" vert="horz" lIns="0" anchor="ctr" anchorCtr="1">
            <a:noAutofit/>
          </a:bodyPr>
          <a:lstStyle/>
          <a:p>
            <a:pPr>
              <a:defRPr/>
            </a:pPr>
            <a:endParaRPr lang="en-US"/>
          </a:p>
        </c:txPr>
        <c:crossAx val="-2133933896"/>
        <c:crossesAt val="-1.0E6"/>
        <c:auto val="0"/>
        <c:lblAlgn val="ctr"/>
        <c:lblOffset val="100"/>
        <c:noMultiLvlLbl val="0"/>
      </c:catAx>
      <c:valAx>
        <c:axId val="-2133933896"/>
        <c:scaling>
          <c:orientation val="minMax"/>
          <c:min val="-250000.0"/>
        </c:scaling>
        <c:delete val="0"/>
        <c:axPos val="l"/>
        <c:majorGridlines/>
        <c:minorGridlines/>
        <c:numFmt formatCode="#,##0" sourceLinked="1"/>
        <c:majorTickMark val="out"/>
        <c:minorTickMark val="out"/>
        <c:tickLblPos val="nextTo"/>
        <c:crossAx val="-2133480376"/>
        <c:crosses val="autoZero"/>
        <c:crossBetween val="between"/>
        <c:majorUnit val="250000.0"/>
        <c:minorUnit val="50000.0"/>
      </c:valAx>
    </c:plotArea>
    <c:legend>
      <c:legendPos val="r"/>
      <c:layout>
        <c:manualLayout>
          <c:xMode val="edge"/>
          <c:yMode val="edge"/>
          <c:x val="0.875932273171736"/>
          <c:y val="0.0865171416626019"/>
          <c:w val="0.124067726828264"/>
          <c:h val="0.461958574315379"/>
        </c:manualLayout>
      </c:layout>
      <c:overlay val="0"/>
    </c:legend>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0" i="0" u="none" strike="noStrike" baseline="0">
                <a:solidFill>
                  <a:srgbClr val="000000"/>
                </a:solidFill>
                <a:latin typeface="Calibri"/>
                <a:ea typeface="Calibri"/>
                <a:cs typeface="Calibri"/>
              </a:defRPr>
            </a:pPr>
            <a:r>
              <a:rPr lang="en-US"/>
              <a:t>NPV Trajectory (NZ$/m2)</a:t>
            </a:r>
          </a:p>
        </c:rich>
      </c:tx>
      <c:overlay val="0"/>
    </c:title>
    <c:autoTitleDeleted val="0"/>
    <c:plotArea>
      <c:layout/>
      <c:scatterChart>
        <c:scatterStyle val="smoothMarker"/>
        <c:varyColors val="0"/>
        <c:ser>
          <c:idx val="6"/>
          <c:order val="0"/>
          <c:tx>
            <c:strRef>
              <c:f>'NPV Summary'!$AM$45</c:f>
              <c:strCache>
                <c:ptCount val="1"/>
                <c:pt idx="0">
                  <c:v>1. Central Wood Boiler w/ underfloor heating</c:v>
                </c:pt>
              </c:strCache>
            </c:strRef>
          </c:tx>
          <c:marker>
            <c:symbol val="none"/>
          </c:marker>
          <c:xVal>
            <c:numRef>
              <c:f>'NPV Summary'!$AN$44:$AP$44</c:f>
              <c:numCache>
                <c:formatCode>General</c:formatCode>
                <c:ptCount val="3"/>
                <c:pt idx="0">
                  <c:v>15.0</c:v>
                </c:pt>
                <c:pt idx="1">
                  <c:v>20.0</c:v>
                </c:pt>
                <c:pt idx="2">
                  <c:v>25.0</c:v>
                </c:pt>
              </c:numCache>
            </c:numRef>
          </c:xVal>
          <c:yVal>
            <c:numRef>
              <c:f>'NPV Summary'!$AN$45:$AP$45</c:f>
              <c:numCache>
                <c:formatCode>#,##0_ ;[Red]\-#,##0\ </c:formatCode>
                <c:ptCount val="3"/>
                <c:pt idx="0">
                  <c:v>0.0</c:v>
                </c:pt>
                <c:pt idx="1">
                  <c:v>0.0</c:v>
                </c:pt>
                <c:pt idx="2">
                  <c:v>0.0</c:v>
                </c:pt>
              </c:numCache>
            </c:numRef>
          </c:yVal>
          <c:smooth val="1"/>
        </c:ser>
        <c:ser>
          <c:idx val="7"/>
          <c:order val="1"/>
          <c:tx>
            <c:strRef>
              <c:f>'NPV Summary'!$AM$46</c:f>
              <c:strCache>
                <c:ptCount val="1"/>
                <c:pt idx="0">
                  <c:v>2. Central Wood Boiler w/ radiators</c:v>
                </c:pt>
              </c:strCache>
            </c:strRef>
          </c:tx>
          <c:marker>
            <c:symbol val="none"/>
          </c:marker>
          <c:xVal>
            <c:numRef>
              <c:f>'NPV Summary'!$AN$44:$AP$44</c:f>
              <c:numCache>
                <c:formatCode>General</c:formatCode>
                <c:ptCount val="3"/>
                <c:pt idx="0">
                  <c:v>15.0</c:v>
                </c:pt>
                <c:pt idx="1">
                  <c:v>20.0</c:v>
                </c:pt>
                <c:pt idx="2">
                  <c:v>25.0</c:v>
                </c:pt>
              </c:numCache>
            </c:numRef>
          </c:xVal>
          <c:yVal>
            <c:numRef>
              <c:f>'NPV Summary'!$AN$46:$AP$46</c:f>
              <c:numCache>
                <c:formatCode>#,##0_ ;[Red]\-#,##0\ </c:formatCode>
                <c:ptCount val="3"/>
                <c:pt idx="0">
                  <c:v>0.0</c:v>
                </c:pt>
                <c:pt idx="1">
                  <c:v>0.0</c:v>
                </c:pt>
                <c:pt idx="2">
                  <c:v>0.0</c:v>
                </c:pt>
              </c:numCache>
            </c:numRef>
          </c:yVal>
          <c:smooth val="1"/>
        </c:ser>
        <c:ser>
          <c:idx val="8"/>
          <c:order val="2"/>
          <c:tx>
            <c:strRef>
              <c:f>'NPV Summary'!$AM$47</c:f>
              <c:strCache>
                <c:ptCount val="1"/>
                <c:pt idx="0">
                  <c:v>3. Central Wood Boiler w/ fan coils</c:v>
                </c:pt>
              </c:strCache>
            </c:strRef>
          </c:tx>
          <c:marker>
            <c:symbol val="none"/>
          </c:marker>
          <c:xVal>
            <c:numRef>
              <c:f>'NPV Summary'!$AN$44:$AP$44</c:f>
              <c:numCache>
                <c:formatCode>General</c:formatCode>
                <c:ptCount val="3"/>
                <c:pt idx="0">
                  <c:v>15.0</c:v>
                </c:pt>
                <c:pt idx="1">
                  <c:v>20.0</c:v>
                </c:pt>
                <c:pt idx="2">
                  <c:v>25.0</c:v>
                </c:pt>
              </c:numCache>
            </c:numRef>
          </c:xVal>
          <c:yVal>
            <c:numRef>
              <c:f>'NPV Summary'!$AN$47:$AP$47</c:f>
              <c:numCache>
                <c:formatCode>#,##0_ ;[Red]\-#,##0\ </c:formatCode>
                <c:ptCount val="3"/>
                <c:pt idx="0">
                  <c:v>0.0</c:v>
                </c:pt>
                <c:pt idx="1">
                  <c:v>0.0</c:v>
                </c:pt>
                <c:pt idx="2">
                  <c:v>0.0</c:v>
                </c:pt>
              </c:numCache>
            </c:numRef>
          </c:yVal>
          <c:smooth val="1"/>
        </c:ser>
        <c:ser>
          <c:idx val="9"/>
          <c:order val="3"/>
          <c:tx>
            <c:strRef>
              <c:f>'NPV Summary'!$AM$48</c:f>
              <c:strCache>
                <c:ptCount val="1"/>
                <c:pt idx="0">
                  <c:v>4. Air-Source Heat Pump w/ underfloor heating</c:v>
                </c:pt>
              </c:strCache>
            </c:strRef>
          </c:tx>
          <c:marker>
            <c:symbol val="none"/>
          </c:marker>
          <c:xVal>
            <c:numRef>
              <c:f>'NPV Summary'!$AN$44:$AP$44</c:f>
              <c:numCache>
                <c:formatCode>General</c:formatCode>
                <c:ptCount val="3"/>
                <c:pt idx="0">
                  <c:v>15.0</c:v>
                </c:pt>
                <c:pt idx="1">
                  <c:v>20.0</c:v>
                </c:pt>
                <c:pt idx="2">
                  <c:v>25.0</c:v>
                </c:pt>
              </c:numCache>
            </c:numRef>
          </c:xVal>
          <c:yVal>
            <c:numRef>
              <c:f>'NPV Summary'!$AN$48:$AP$48</c:f>
              <c:numCache>
                <c:formatCode>#,##0_ ;[Red]\-#,##0\ </c:formatCode>
                <c:ptCount val="3"/>
                <c:pt idx="0">
                  <c:v>0.0</c:v>
                </c:pt>
                <c:pt idx="1">
                  <c:v>0.0</c:v>
                </c:pt>
                <c:pt idx="2">
                  <c:v>0.0</c:v>
                </c:pt>
              </c:numCache>
            </c:numRef>
          </c:yVal>
          <c:smooth val="1"/>
        </c:ser>
        <c:ser>
          <c:idx val="11"/>
          <c:order val="4"/>
          <c:tx>
            <c:strRef>
              <c:f>'NPV Summary'!$AM$49</c:f>
              <c:strCache>
                <c:ptCount val="1"/>
                <c:pt idx="0">
                  <c:v>5. Air-Source Heat Pump w/ low temp' radiators</c:v>
                </c:pt>
              </c:strCache>
            </c:strRef>
          </c:tx>
          <c:marker>
            <c:symbol val="none"/>
          </c:marker>
          <c:xVal>
            <c:numRef>
              <c:f>'NPV Summary'!$AN$44:$AP$44</c:f>
              <c:numCache>
                <c:formatCode>General</c:formatCode>
                <c:ptCount val="3"/>
                <c:pt idx="0">
                  <c:v>15.0</c:v>
                </c:pt>
                <c:pt idx="1">
                  <c:v>20.0</c:v>
                </c:pt>
                <c:pt idx="2">
                  <c:v>25.0</c:v>
                </c:pt>
              </c:numCache>
            </c:numRef>
          </c:xVal>
          <c:yVal>
            <c:numRef>
              <c:f>'NPV Summary'!$AN$49:$AP$49</c:f>
              <c:numCache>
                <c:formatCode>#,##0_ ;[Red]\-#,##0\ </c:formatCode>
                <c:ptCount val="3"/>
                <c:pt idx="0">
                  <c:v>279.5327488384818</c:v>
                </c:pt>
                <c:pt idx="1">
                  <c:v>340.2006120431007</c:v>
                </c:pt>
                <c:pt idx="2">
                  <c:v>386.4267955551885</c:v>
                </c:pt>
              </c:numCache>
            </c:numRef>
          </c:yVal>
          <c:smooth val="1"/>
        </c:ser>
        <c:ser>
          <c:idx val="13"/>
          <c:order val="5"/>
          <c:tx>
            <c:strRef>
              <c:f>'NPV Summary'!$AM$50</c:f>
              <c:strCache>
                <c:ptCount val="1"/>
                <c:pt idx="0">
                  <c:v>6. Air-Source Heat Pump w/ fan coils</c:v>
                </c:pt>
              </c:strCache>
            </c:strRef>
          </c:tx>
          <c:marker>
            <c:symbol val="none"/>
          </c:marker>
          <c:xVal>
            <c:numRef>
              <c:f>'NPV Summary'!$AN$44:$AP$44</c:f>
              <c:numCache>
                <c:formatCode>General</c:formatCode>
                <c:ptCount val="3"/>
                <c:pt idx="0">
                  <c:v>15.0</c:v>
                </c:pt>
                <c:pt idx="1">
                  <c:v>20.0</c:v>
                </c:pt>
                <c:pt idx="2">
                  <c:v>25.0</c:v>
                </c:pt>
              </c:numCache>
            </c:numRef>
          </c:xVal>
          <c:yVal>
            <c:numRef>
              <c:f>'NPV Summary'!$AN$50:$AP$50</c:f>
              <c:numCache>
                <c:formatCode>#,##0_ ;[Red]\-#,##0\ </c:formatCode>
                <c:ptCount val="3"/>
                <c:pt idx="0">
                  <c:v>341.3679375211103</c:v>
                </c:pt>
                <c:pt idx="1">
                  <c:v>424.4694941659745</c:v>
                </c:pt>
                <c:pt idx="2">
                  <c:v>487.968473110639</c:v>
                </c:pt>
              </c:numCache>
            </c:numRef>
          </c:yVal>
          <c:smooth val="1"/>
        </c:ser>
        <c:ser>
          <c:idx val="15"/>
          <c:order val="6"/>
          <c:tx>
            <c:strRef>
              <c:f>'NPV Summary'!$AM$51</c:f>
              <c:strCache>
                <c:ptCount val="1"/>
                <c:pt idx="0">
                  <c:v>7. Individual Split A/C Units</c:v>
                </c:pt>
              </c:strCache>
            </c:strRef>
          </c:tx>
          <c:marker>
            <c:symbol val="none"/>
          </c:marker>
          <c:xVal>
            <c:numRef>
              <c:f>'NPV Summary'!$AN$44:$AP$44</c:f>
              <c:numCache>
                <c:formatCode>General</c:formatCode>
                <c:ptCount val="3"/>
                <c:pt idx="0">
                  <c:v>15.0</c:v>
                </c:pt>
                <c:pt idx="1">
                  <c:v>20.0</c:v>
                </c:pt>
                <c:pt idx="2">
                  <c:v>25.0</c:v>
                </c:pt>
              </c:numCache>
            </c:numRef>
          </c:xVal>
          <c:yVal>
            <c:numRef>
              <c:f>'NPV Summary'!$AN$51:$AP$51</c:f>
              <c:numCache>
                <c:formatCode>#,##0_ ;[Red]\-#,##0\ </c:formatCode>
                <c:ptCount val="3"/>
                <c:pt idx="0">
                  <c:v>318.4112352161689</c:v>
                </c:pt>
                <c:pt idx="1">
                  <c:v>376.79806074971</c:v>
                </c:pt>
                <c:pt idx="2">
                  <c:v>429.0840857295135</c:v>
                </c:pt>
              </c:numCache>
            </c:numRef>
          </c:yVal>
          <c:smooth val="1"/>
        </c:ser>
        <c:ser>
          <c:idx val="17"/>
          <c:order val="7"/>
          <c:tx>
            <c:strRef>
              <c:f>'NPV Summary'!$AM$52</c:f>
              <c:strCache>
                <c:ptCount val="1"/>
                <c:pt idx="0">
                  <c:v>8. Ground-Source Heat Pump w/ Underfloor Heating</c:v>
                </c:pt>
              </c:strCache>
            </c:strRef>
          </c:tx>
          <c:marker>
            <c:symbol val="none"/>
          </c:marker>
          <c:xVal>
            <c:numRef>
              <c:f>'NPV Summary'!$AN$44:$AP$44</c:f>
              <c:numCache>
                <c:formatCode>General</c:formatCode>
                <c:ptCount val="3"/>
                <c:pt idx="0">
                  <c:v>15.0</c:v>
                </c:pt>
                <c:pt idx="1">
                  <c:v>20.0</c:v>
                </c:pt>
                <c:pt idx="2">
                  <c:v>25.0</c:v>
                </c:pt>
              </c:numCache>
            </c:numRef>
          </c:xVal>
          <c:yVal>
            <c:numRef>
              <c:f>'NPV Summary'!$AN$52:$AP$52</c:f>
              <c:numCache>
                <c:formatCode>#,##0_ ;[Red]\-#,##0\ </c:formatCode>
                <c:ptCount val="3"/>
                <c:pt idx="0">
                  <c:v>0.0</c:v>
                </c:pt>
                <c:pt idx="1">
                  <c:v>0.0</c:v>
                </c:pt>
                <c:pt idx="2">
                  <c:v>0.0</c:v>
                </c:pt>
              </c:numCache>
            </c:numRef>
          </c:yVal>
          <c:smooth val="1"/>
        </c:ser>
        <c:ser>
          <c:idx val="19"/>
          <c:order val="8"/>
          <c:tx>
            <c:strRef>
              <c:f>'NPV Summary'!$AM$53</c:f>
              <c:strCache>
                <c:ptCount val="1"/>
                <c:pt idx="0">
                  <c:v>9. Ground-Source Heat Pump w/ Radiators</c:v>
                </c:pt>
              </c:strCache>
            </c:strRef>
          </c:tx>
          <c:marker>
            <c:symbol val="none"/>
          </c:marker>
          <c:xVal>
            <c:numRef>
              <c:f>'NPV Summary'!$AN$44:$AP$44</c:f>
              <c:numCache>
                <c:formatCode>General</c:formatCode>
                <c:ptCount val="3"/>
                <c:pt idx="0">
                  <c:v>15.0</c:v>
                </c:pt>
                <c:pt idx="1">
                  <c:v>20.0</c:v>
                </c:pt>
                <c:pt idx="2">
                  <c:v>25.0</c:v>
                </c:pt>
              </c:numCache>
            </c:numRef>
          </c:xVal>
          <c:yVal>
            <c:numRef>
              <c:f>'NPV Summary'!$AN$53:$AP$53</c:f>
              <c:numCache>
                <c:formatCode>#,##0_ ;[Red]\-#,##0\ </c:formatCode>
                <c:ptCount val="3"/>
                <c:pt idx="0">
                  <c:v>0.0</c:v>
                </c:pt>
                <c:pt idx="1">
                  <c:v>0.0</c:v>
                </c:pt>
                <c:pt idx="2">
                  <c:v>0.0</c:v>
                </c:pt>
              </c:numCache>
            </c:numRef>
          </c:yVal>
          <c:smooth val="1"/>
        </c:ser>
        <c:ser>
          <c:idx val="21"/>
          <c:order val="9"/>
          <c:tx>
            <c:strRef>
              <c:f>'NPV Summary'!$AM$54</c:f>
              <c:strCache>
                <c:ptCount val="1"/>
                <c:pt idx="0">
                  <c:v>10. Ground-Source Heat Pump w/ Fan Coils</c:v>
                </c:pt>
              </c:strCache>
            </c:strRef>
          </c:tx>
          <c:marker>
            <c:symbol val="none"/>
          </c:marker>
          <c:xVal>
            <c:numRef>
              <c:f>'NPV Summary'!$AN$44:$AP$44</c:f>
              <c:numCache>
                <c:formatCode>General</c:formatCode>
                <c:ptCount val="3"/>
                <c:pt idx="0">
                  <c:v>15.0</c:v>
                </c:pt>
                <c:pt idx="1">
                  <c:v>20.0</c:v>
                </c:pt>
                <c:pt idx="2">
                  <c:v>25.0</c:v>
                </c:pt>
              </c:numCache>
            </c:numRef>
          </c:xVal>
          <c:yVal>
            <c:numRef>
              <c:f>'NPV Summary'!$AN$54:$AP$54</c:f>
              <c:numCache>
                <c:formatCode>#,##0_ ;[Red]\-#,##0\ </c:formatCode>
                <c:ptCount val="3"/>
                <c:pt idx="0">
                  <c:v>0.0</c:v>
                </c:pt>
                <c:pt idx="1">
                  <c:v>0.0</c:v>
                </c:pt>
                <c:pt idx="2">
                  <c:v>0.0</c:v>
                </c:pt>
              </c:numCache>
            </c:numRef>
          </c:yVal>
          <c:smooth val="1"/>
        </c:ser>
        <c:ser>
          <c:idx val="23"/>
          <c:order val="10"/>
          <c:tx>
            <c:strRef>
              <c:f>'NPV Summary'!$AM$55</c:f>
              <c:strCache>
                <c:ptCount val="1"/>
                <c:pt idx="0">
                  <c:v>11. Packaged Ducted A/C Units</c:v>
                </c:pt>
              </c:strCache>
            </c:strRef>
          </c:tx>
          <c:marker>
            <c:symbol val="none"/>
          </c:marker>
          <c:xVal>
            <c:numRef>
              <c:f>'NPV Summary'!$AN$44:$AP$44</c:f>
              <c:numCache>
                <c:formatCode>General</c:formatCode>
                <c:ptCount val="3"/>
                <c:pt idx="0">
                  <c:v>15.0</c:v>
                </c:pt>
                <c:pt idx="1">
                  <c:v>20.0</c:v>
                </c:pt>
                <c:pt idx="2">
                  <c:v>25.0</c:v>
                </c:pt>
              </c:numCache>
            </c:numRef>
          </c:xVal>
          <c:yVal>
            <c:numRef>
              <c:f>'NPV Summary'!$AN$55:$AP$55</c:f>
              <c:numCache>
                <c:formatCode>#,##0_ ;[Red]\-#,##0\ </c:formatCode>
                <c:ptCount val="3"/>
                <c:pt idx="0">
                  <c:v>0.0</c:v>
                </c:pt>
                <c:pt idx="1">
                  <c:v>0.0</c:v>
                </c:pt>
                <c:pt idx="2">
                  <c:v>0.0</c:v>
                </c:pt>
              </c:numCache>
            </c:numRef>
          </c:yVal>
          <c:smooth val="1"/>
        </c:ser>
        <c:ser>
          <c:idx val="25"/>
          <c:order val="11"/>
          <c:tx>
            <c:strRef>
              <c:f>'NPV Summary'!$AM$56</c:f>
              <c:strCache>
                <c:ptCount val="1"/>
                <c:pt idx="0">
                  <c:v>12. VRF Multi Split System</c:v>
                </c:pt>
              </c:strCache>
            </c:strRef>
          </c:tx>
          <c:marker>
            <c:symbol val="none"/>
          </c:marker>
          <c:xVal>
            <c:numRef>
              <c:f>'NPV Summary'!$AN$44:$AP$44</c:f>
              <c:numCache>
                <c:formatCode>General</c:formatCode>
                <c:ptCount val="3"/>
                <c:pt idx="0">
                  <c:v>15.0</c:v>
                </c:pt>
                <c:pt idx="1">
                  <c:v>20.0</c:v>
                </c:pt>
                <c:pt idx="2">
                  <c:v>25.0</c:v>
                </c:pt>
              </c:numCache>
            </c:numRef>
          </c:xVal>
          <c:yVal>
            <c:numRef>
              <c:f>'NPV Summary'!$AN$56:$AP$56</c:f>
              <c:numCache>
                <c:formatCode>#,##0_ ;[Red]\-#,##0\ </c:formatCode>
                <c:ptCount val="3"/>
                <c:pt idx="0">
                  <c:v>331.0901021139207</c:v>
                </c:pt>
                <c:pt idx="1">
                  <c:v>404.0592440209092</c:v>
                </c:pt>
                <c:pt idx="2">
                  <c:v>455.2401412936434</c:v>
                </c:pt>
              </c:numCache>
            </c:numRef>
          </c:yVal>
          <c:smooth val="1"/>
        </c:ser>
        <c:ser>
          <c:idx val="27"/>
          <c:order val="12"/>
          <c:tx>
            <c:strRef>
              <c:f>'NPV Summary'!$AM$57</c:f>
              <c:strCache>
                <c:ptCount val="1"/>
                <c:pt idx="0">
                  <c:v>13. Hybrid VRF Multi Split System</c:v>
                </c:pt>
              </c:strCache>
            </c:strRef>
          </c:tx>
          <c:marker>
            <c:symbol val="none"/>
          </c:marker>
          <c:xVal>
            <c:numRef>
              <c:f>'NPV Summary'!$AN$44:$AP$44</c:f>
              <c:numCache>
                <c:formatCode>General</c:formatCode>
                <c:ptCount val="3"/>
                <c:pt idx="0">
                  <c:v>15.0</c:v>
                </c:pt>
                <c:pt idx="1">
                  <c:v>20.0</c:v>
                </c:pt>
                <c:pt idx="2">
                  <c:v>25.0</c:v>
                </c:pt>
              </c:numCache>
            </c:numRef>
          </c:xVal>
          <c:yVal>
            <c:numRef>
              <c:f>'NPV Summary'!$AN$57:$AP$57</c:f>
              <c:numCache>
                <c:formatCode>#,##0_ ;[Red]\-#,##0\ </c:formatCode>
                <c:ptCount val="3"/>
                <c:pt idx="0">
                  <c:v>427.6062967461716</c:v>
                </c:pt>
                <c:pt idx="1">
                  <c:v>530.028713763378</c:v>
                </c:pt>
                <c:pt idx="2">
                  <c:v>602.4921151273069</c:v>
                </c:pt>
              </c:numCache>
            </c:numRef>
          </c:yVal>
          <c:smooth val="1"/>
        </c:ser>
        <c:ser>
          <c:idx val="0"/>
          <c:order val="13"/>
          <c:tx>
            <c:strRef>
              <c:f>'NPV Summary'!$AM$58</c:f>
              <c:strCache>
                <c:ptCount val="1"/>
                <c:pt idx="0">
                  <c:v>14. Electric Radiant Heaters</c:v>
                </c:pt>
              </c:strCache>
            </c:strRef>
          </c:tx>
          <c:marker>
            <c:symbol val="none"/>
          </c:marker>
          <c:xVal>
            <c:numRef>
              <c:f>'NPV Summary'!$AN$44:$AP$44</c:f>
              <c:numCache>
                <c:formatCode>General</c:formatCode>
                <c:ptCount val="3"/>
                <c:pt idx="0">
                  <c:v>15.0</c:v>
                </c:pt>
                <c:pt idx="1">
                  <c:v>20.0</c:v>
                </c:pt>
                <c:pt idx="2">
                  <c:v>25.0</c:v>
                </c:pt>
              </c:numCache>
            </c:numRef>
          </c:xVal>
          <c:yVal>
            <c:numRef>
              <c:f>'NPV Summary'!$AN$58:$AP$58</c:f>
              <c:numCache>
                <c:formatCode>#,##0_ ;[Red]\-#,##0\ </c:formatCode>
                <c:ptCount val="3"/>
                <c:pt idx="0">
                  <c:v>213.7555084626659</c:v>
                </c:pt>
                <c:pt idx="1">
                  <c:v>238.6550475657883</c:v>
                </c:pt>
                <c:pt idx="2">
                  <c:v>256.638665152323</c:v>
                </c:pt>
              </c:numCache>
            </c:numRef>
          </c:yVal>
          <c:smooth val="1"/>
        </c:ser>
        <c:dLbls>
          <c:showLegendKey val="0"/>
          <c:showVal val="0"/>
          <c:showCatName val="0"/>
          <c:showSerName val="0"/>
          <c:showPercent val="0"/>
          <c:showBubbleSize val="0"/>
        </c:dLbls>
        <c:axId val="-2133541176"/>
        <c:axId val="-2133535624"/>
      </c:scatterChart>
      <c:valAx>
        <c:axId val="-2133541176"/>
        <c:scaling>
          <c:orientation val="minMax"/>
          <c:min val="14.0"/>
        </c:scaling>
        <c:delete val="0"/>
        <c:axPos val="b"/>
        <c:title>
          <c:tx>
            <c:rich>
              <a:bodyPr/>
              <a:lstStyle/>
              <a:p>
                <a:pPr>
                  <a:defRPr sz="1600" b="1" i="0" u="none" strike="noStrike" baseline="0">
                    <a:solidFill>
                      <a:srgbClr val="000000"/>
                    </a:solidFill>
                    <a:latin typeface="Calibri"/>
                    <a:ea typeface="Calibri"/>
                    <a:cs typeface="Calibri"/>
                  </a:defRPr>
                </a:pPr>
                <a:r>
                  <a:rPr lang="en-US"/>
                  <a:t>Years</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33535624"/>
        <c:crosses val="autoZero"/>
        <c:crossBetween val="midCat"/>
      </c:valAx>
      <c:valAx>
        <c:axId val="-2133535624"/>
        <c:scaling>
          <c:orientation val="minMax"/>
        </c:scaling>
        <c:delete val="0"/>
        <c:axPos val="l"/>
        <c:majorGridlines/>
        <c:title>
          <c:tx>
            <c:rich>
              <a:bodyPr/>
              <a:lstStyle/>
              <a:p>
                <a:pPr>
                  <a:defRPr sz="1200" b="0" i="0" u="none" strike="noStrike" baseline="0">
                    <a:solidFill>
                      <a:srgbClr val="000000"/>
                    </a:solidFill>
                    <a:latin typeface="Calibri"/>
                    <a:ea typeface="Calibri"/>
                    <a:cs typeface="Calibri"/>
                  </a:defRPr>
                </a:pPr>
                <a:r>
                  <a:rPr lang="en-US"/>
                  <a:t>NPV NZ$/m2</a:t>
                </a:r>
              </a:p>
            </c:rich>
          </c:tx>
          <c:overlay val="0"/>
        </c:title>
        <c:numFmt formatCode="#,##0_ ;[Red]\-#,##0\ " sourceLinked="1"/>
        <c:majorTickMark val="out"/>
        <c:minorTickMark val="none"/>
        <c:tickLblPos val="nextTo"/>
        <c:crossAx val="-2133541176"/>
        <c:crosses val="autoZero"/>
        <c:crossBetween val="midCat"/>
      </c:valAx>
    </c:plotArea>
    <c:legend>
      <c:legendPos val="r"/>
      <c:layout>
        <c:manualLayout>
          <c:xMode val="edge"/>
          <c:yMode val="edge"/>
          <c:x val="0.656984444017668"/>
          <c:y val="0.164109251968504"/>
          <c:w val="0.339837398373984"/>
          <c:h val="0.804145669291339"/>
        </c:manualLayout>
      </c:layout>
      <c:overlay val="0"/>
      <c:txPr>
        <a:bodyPr/>
        <a:lstStyle/>
        <a:p>
          <a:pPr>
            <a:defRPr spc="-100"/>
          </a:pPr>
          <a:endParaRPr lang="en-US"/>
        </a:p>
      </c:txPr>
    </c:legend>
    <c:plotVisOnly val="1"/>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ea typeface="Calibri"/>
                <a:cs typeface="Calibri"/>
              </a:rPr>
              <a:t>Capital Cost NPV Trajectory (NZ$/m</a:t>
            </a:r>
            <a:r>
              <a:rPr lang="en-US" sz="1800" b="1" i="0" u="none" strike="noStrike" baseline="30000">
                <a:solidFill>
                  <a:srgbClr val="000000"/>
                </a:solidFill>
                <a:latin typeface="Calibri"/>
                <a:ea typeface="Calibri"/>
                <a:cs typeface="Calibri"/>
              </a:rPr>
              <a:t>2</a:t>
            </a:r>
            <a:r>
              <a:rPr lang="en-US" sz="1200" b="0" i="0" u="none" strike="noStrike" baseline="0">
                <a:solidFill>
                  <a:srgbClr val="000000"/>
                </a:solidFill>
                <a:latin typeface="Calibri"/>
                <a:ea typeface="Calibri"/>
                <a:cs typeface="Calibri"/>
              </a:rPr>
              <a:t>)</a:t>
            </a:r>
          </a:p>
        </c:rich>
      </c:tx>
      <c:overlay val="0"/>
    </c:title>
    <c:autoTitleDeleted val="0"/>
    <c:plotArea>
      <c:layout/>
      <c:scatterChart>
        <c:scatterStyle val="smoothMarker"/>
        <c:varyColors val="0"/>
        <c:ser>
          <c:idx val="6"/>
          <c:order val="0"/>
          <c:tx>
            <c:strRef>
              <c:f>'NPV Summary'!$AM$45</c:f>
              <c:strCache>
                <c:ptCount val="1"/>
                <c:pt idx="0">
                  <c:v>1. Central Wood Boiler w/ underfloor heating</c:v>
                </c:pt>
              </c:strCache>
            </c:strRef>
          </c:tx>
          <c:marker>
            <c:symbol val="none"/>
          </c:marker>
          <c:xVal>
            <c:numRef>
              <c:f>'NPV Summary'!$AQ$44:$AS$44</c:f>
              <c:numCache>
                <c:formatCode>General</c:formatCode>
                <c:ptCount val="3"/>
                <c:pt idx="0">
                  <c:v>15.0</c:v>
                </c:pt>
                <c:pt idx="1">
                  <c:v>20.0</c:v>
                </c:pt>
                <c:pt idx="2">
                  <c:v>25.0</c:v>
                </c:pt>
              </c:numCache>
            </c:numRef>
          </c:xVal>
          <c:yVal>
            <c:numRef>
              <c:f>'NPV Summary'!$AQ$45:$AS$45</c:f>
              <c:numCache>
                <c:formatCode>#,##0_ ;[Red]\-#,##0\ </c:formatCode>
                <c:ptCount val="3"/>
                <c:pt idx="0">
                  <c:v>0.0</c:v>
                </c:pt>
                <c:pt idx="1">
                  <c:v>0.0</c:v>
                </c:pt>
                <c:pt idx="2">
                  <c:v>0.0</c:v>
                </c:pt>
              </c:numCache>
            </c:numRef>
          </c:yVal>
          <c:smooth val="1"/>
        </c:ser>
        <c:ser>
          <c:idx val="7"/>
          <c:order val="1"/>
          <c:tx>
            <c:strRef>
              <c:f>'NPV Summary'!$AM$46</c:f>
              <c:strCache>
                <c:ptCount val="1"/>
                <c:pt idx="0">
                  <c:v>2. Central Wood Boiler w/ radiators</c:v>
                </c:pt>
              </c:strCache>
            </c:strRef>
          </c:tx>
          <c:marker>
            <c:symbol val="none"/>
          </c:marker>
          <c:xVal>
            <c:numRef>
              <c:f>'NPV Summary'!$AQ$44:$AS$44</c:f>
              <c:numCache>
                <c:formatCode>General</c:formatCode>
                <c:ptCount val="3"/>
                <c:pt idx="0">
                  <c:v>15.0</c:v>
                </c:pt>
                <c:pt idx="1">
                  <c:v>20.0</c:v>
                </c:pt>
                <c:pt idx="2">
                  <c:v>25.0</c:v>
                </c:pt>
              </c:numCache>
            </c:numRef>
          </c:xVal>
          <c:yVal>
            <c:numRef>
              <c:f>'NPV Summary'!$AQ$46:$AS$46</c:f>
              <c:numCache>
                <c:formatCode>#,##0_ ;[Red]\-#,##0\ </c:formatCode>
                <c:ptCount val="3"/>
                <c:pt idx="0">
                  <c:v>0.0</c:v>
                </c:pt>
                <c:pt idx="1">
                  <c:v>0.0</c:v>
                </c:pt>
                <c:pt idx="2">
                  <c:v>0.0</c:v>
                </c:pt>
              </c:numCache>
            </c:numRef>
          </c:yVal>
          <c:smooth val="1"/>
        </c:ser>
        <c:ser>
          <c:idx val="8"/>
          <c:order val="2"/>
          <c:tx>
            <c:strRef>
              <c:f>'NPV Summary'!$AM$47</c:f>
              <c:strCache>
                <c:ptCount val="1"/>
                <c:pt idx="0">
                  <c:v>3. Central Wood Boiler w/ fan coils</c:v>
                </c:pt>
              </c:strCache>
            </c:strRef>
          </c:tx>
          <c:marker>
            <c:symbol val="none"/>
          </c:marker>
          <c:xVal>
            <c:numRef>
              <c:f>'NPV Summary'!$AQ$44:$AS$44</c:f>
              <c:numCache>
                <c:formatCode>General</c:formatCode>
                <c:ptCount val="3"/>
                <c:pt idx="0">
                  <c:v>15.0</c:v>
                </c:pt>
                <c:pt idx="1">
                  <c:v>20.0</c:v>
                </c:pt>
                <c:pt idx="2">
                  <c:v>25.0</c:v>
                </c:pt>
              </c:numCache>
            </c:numRef>
          </c:xVal>
          <c:yVal>
            <c:numRef>
              <c:f>'NPV Summary'!$AQ$47:$AS$47</c:f>
              <c:numCache>
                <c:formatCode>#,##0_ ;[Red]\-#,##0\ </c:formatCode>
                <c:ptCount val="3"/>
                <c:pt idx="0">
                  <c:v>0.0</c:v>
                </c:pt>
                <c:pt idx="1">
                  <c:v>0.0</c:v>
                </c:pt>
                <c:pt idx="2">
                  <c:v>0.0</c:v>
                </c:pt>
              </c:numCache>
            </c:numRef>
          </c:yVal>
          <c:smooth val="1"/>
        </c:ser>
        <c:ser>
          <c:idx val="9"/>
          <c:order val="3"/>
          <c:tx>
            <c:strRef>
              <c:f>'NPV Summary'!$AM$48</c:f>
              <c:strCache>
                <c:ptCount val="1"/>
                <c:pt idx="0">
                  <c:v>4. Air-Source Heat Pump w/ underfloor heating</c:v>
                </c:pt>
              </c:strCache>
            </c:strRef>
          </c:tx>
          <c:marker>
            <c:symbol val="none"/>
          </c:marker>
          <c:xVal>
            <c:numRef>
              <c:f>'NPV Summary'!$AQ$44:$AS$44</c:f>
              <c:numCache>
                <c:formatCode>General</c:formatCode>
                <c:ptCount val="3"/>
                <c:pt idx="0">
                  <c:v>15.0</c:v>
                </c:pt>
                <c:pt idx="1">
                  <c:v>20.0</c:v>
                </c:pt>
                <c:pt idx="2">
                  <c:v>25.0</c:v>
                </c:pt>
              </c:numCache>
            </c:numRef>
          </c:xVal>
          <c:yVal>
            <c:numRef>
              <c:f>'NPV Summary'!$AQ$48:$AS$48</c:f>
              <c:numCache>
                <c:formatCode>#,##0_ ;[Red]\-#,##0\ </c:formatCode>
                <c:ptCount val="3"/>
                <c:pt idx="0">
                  <c:v>0.0</c:v>
                </c:pt>
                <c:pt idx="1">
                  <c:v>0.0</c:v>
                </c:pt>
                <c:pt idx="2">
                  <c:v>0.0</c:v>
                </c:pt>
              </c:numCache>
            </c:numRef>
          </c:yVal>
          <c:smooth val="1"/>
        </c:ser>
        <c:ser>
          <c:idx val="11"/>
          <c:order val="4"/>
          <c:tx>
            <c:strRef>
              <c:f>'NPV Summary'!$AM$49</c:f>
              <c:strCache>
                <c:ptCount val="1"/>
                <c:pt idx="0">
                  <c:v>5. Air-Source Heat Pump w/ low temp' radiators</c:v>
                </c:pt>
              </c:strCache>
            </c:strRef>
          </c:tx>
          <c:marker>
            <c:symbol val="none"/>
          </c:marker>
          <c:xVal>
            <c:numRef>
              <c:f>'NPV Summary'!$AQ$44:$AS$44</c:f>
              <c:numCache>
                <c:formatCode>General</c:formatCode>
                <c:ptCount val="3"/>
                <c:pt idx="0">
                  <c:v>15.0</c:v>
                </c:pt>
                <c:pt idx="1">
                  <c:v>20.0</c:v>
                </c:pt>
                <c:pt idx="2">
                  <c:v>25.0</c:v>
                </c:pt>
              </c:numCache>
            </c:numRef>
          </c:xVal>
          <c:yVal>
            <c:numRef>
              <c:f>'NPV Summary'!$AQ$49:$AS$49</c:f>
              <c:numCache>
                <c:formatCode>#,##0_ ;[Red]\-#,##0\ </c:formatCode>
                <c:ptCount val="3"/>
                <c:pt idx="0">
                  <c:v>235.7543207831452</c:v>
                </c:pt>
                <c:pt idx="1">
                  <c:v>284.9066757340764</c:v>
                </c:pt>
                <c:pt idx="2">
                  <c:v>321.1180867265349</c:v>
                </c:pt>
              </c:numCache>
            </c:numRef>
          </c:yVal>
          <c:smooth val="1"/>
        </c:ser>
        <c:ser>
          <c:idx val="13"/>
          <c:order val="5"/>
          <c:tx>
            <c:strRef>
              <c:f>'NPV Summary'!$AM$50</c:f>
              <c:strCache>
                <c:ptCount val="1"/>
                <c:pt idx="0">
                  <c:v>6. Air-Source Heat Pump w/ fan coils</c:v>
                </c:pt>
              </c:strCache>
            </c:strRef>
          </c:tx>
          <c:marker>
            <c:symbol val="none"/>
          </c:marker>
          <c:xVal>
            <c:numRef>
              <c:f>'NPV Summary'!$AQ$44:$AS$44</c:f>
              <c:numCache>
                <c:formatCode>General</c:formatCode>
                <c:ptCount val="3"/>
                <c:pt idx="0">
                  <c:v>15.0</c:v>
                </c:pt>
                <c:pt idx="1">
                  <c:v>20.0</c:v>
                </c:pt>
                <c:pt idx="2">
                  <c:v>25.0</c:v>
                </c:pt>
              </c:numCache>
            </c:numRef>
          </c:xVal>
          <c:yVal>
            <c:numRef>
              <c:f>'NPV Summary'!$AQ$50:$AS$50</c:f>
              <c:numCache>
                <c:formatCode>#,##0_ ;[Red]\-#,##0\ </c:formatCode>
                <c:ptCount val="3"/>
                <c:pt idx="0">
                  <c:v>289.2588474857029</c:v>
                </c:pt>
                <c:pt idx="1">
                  <c:v>358.5733855390154</c:v>
                </c:pt>
                <c:pt idx="2">
                  <c:v>410.0602396137963</c:v>
                </c:pt>
              </c:numCache>
            </c:numRef>
          </c:yVal>
          <c:smooth val="1"/>
        </c:ser>
        <c:ser>
          <c:idx val="15"/>
          <c:order val="6"/>
          <c:tx>
            <c:strRef>
              <c:f>'NPV Summary'!$AM$51</c:f>
              <c:strCache>
                <c:ptCount val="1"/>
                <c:pt idx="0">
                  <c:v>7. Individual Split A/C Units</c:v>
                </c:pt>
              </c:strCache>
            </c:strRef>
          </c:tx>
          <c:marker>
            <c:symbol val="none"/>
          </c:marker>
          <c:xVal>
            <c:numRef>
              <c:f>'NPV Summary'!$AQ$44:$AS$44</c:f>
              <c:numCache>
                <c:formatCode>General</c:formatCode>
                <c:ptCount val="3"/>
                <c:pt idx="0">
                  <c:v>15.0</c:v>
                </c:pt>
                <c:pt idx="1">
                  <c:v>20.0</c:v>
                </c:pt>
                <c:pt idx="2">
                  <c:v>25.0</c:v>
                </c:pt>
              </c:numCache>
            </c:numRef>
          </c:xVal>
          <c:yVal>
            <c:numRef>
              <c:f>'NPV Summary'!$AQ$51:$AS$51</c:f>
              <c:numCache>
                <c:formatCode>#,##0_ ;[Red]\-#,##0\ </c:formatCode>
                <c:ptCount val="3"/>
                <c:pt idx="0">
                  <c:v>281.5479644215311</c:v>
                </c:pt>
                <c:pt idx="1">
                  <c:v>330.8522169758555</c:v>
                </c:pt>
                <c:pt idx="2">
                  <c:v>377.8460268658</c:v>
                </c:pt>
              </c:numCache>
            </c:numRef>
          </c:yVal>
          <c:smooth val="1"/>
        </c:ser>
        <c:ser>
          <c:idx val="17"/>
          <c:order val="7"/>
          <c:tx>
            <c:strRef>
              <c:f>'NPV Summary'!$AM$52</c:f>
              <c:strCache>
                <c:ptCount val="1"/>
                <c:pt idx="0">
                  <c:v>8. Ground-Source Heat Pump w/ Underfloor Heating</c:v>
                </c:pt>
              </c:strCache>
            </c:strRef>
          </c:tx>
          <c:marker>
            <c:symbol val="none"/>
          </c:marker>
          <c:xVal>
            <c:numRef>
              <c:f>'NPV Summary'!$AQ$44:$AS$44</c:f>
              <c:numCache>
                <c:formatCode>General</c:formatCode>
                <c:ptCount val="3"/>
                <c:pt idx="0">
                  <c:v>15.0</c:v>
                </c:pt>
                <c:pt idx="1">
                  <c:v>20.0</c:v>
                </c:pt>
                <c:pt idx="2">
                  <c:v>25.0</c:v>
                </c:pt>
              </c:numCache>
            </c:numRef>
          </c:xVal>
          <c:yVal>
            <c:numRef>
              <c:f>'NPV Summary'!$AQ$52:$AS$52</c:f>
              <c:numCache>
                <c:formatCode>#,##0_ ;[Red]\-#,##0\ </c:formatCode>
                <c:ptCount val="3"/>
                <c:pt idx="0">
                  <c:v>0.0</c:v>
                </c:pt>
                <c:pt idx="1">
                  <c:v>0.0</c:v>
                </c:pt>
                <c:pt idx="2">
                  <c:v>0.0</c:v>
                </c:pt>
              </c:numCache>
            </c:numRef>
          </c:yVal>
          <c:smooth val="1"/>
        </c:ser>
        <c:ser>
          <c:idx val="19"/>
          <c:order val="8"/>
          <c:tx>
            <c:strRef>
              <c:f>'NPV Summary'!$AM$53</c:f>
              <c:strCache>
                <c:ptCount val="1"/>
                <c:pt idx="0">
                  <c:v>9. Ground-Source Heat Pump w/ Radiators</c:v>
                </c:pt>
              </c:strCache>
            </c:strRef>
          </c:tx>
          <c:marker>
            <c:symbol val="none"/>
          </c:marker>
          <c:xVal>
            <c:numRef>
              <c:f>'NPV Summary'!$AQ$44:$AS$44</c:f>
              <c:numCache>
                <c:formatCode>General</c:formatCode>
                <c:ptCount val="3"/>
                <c:pt idx="0">
                  <c:v>15.0</c:v>
                </c:pt>
                <c:pt idx="1">
                  <c:v>20.0</c:v>
                </c:pt>
                <c:pt idx="2">
                  <c:v>25.0</c:v>
                </c:pt>
              </c:numCache>
            </c:numRef>
          </c:xVal>
          <c:yVal>
            <c:numRef>
              <c:f>'NPV Summary'!$AQ$53:$AS$53</c:f>
              <c:numCache>
                <c:formatCode>#,##0_ ;[Red]\-#,##0\ </c:formatCode>
                <c:ptCount val="3"/>
                <c:pt idx="0">
                  <c:v>0.0</c:v>
                </c:pt>
                <c:pt idx="1">
                  <c:v>0.0</c:v>
                </c:pt>
                <c:pt idx="2">
                  <c:v>0.0</c:v>
                </c:pt>
              </c:numCache>
            </c:numRef>
          </c:yVal>
          <c:smooth val="1"/>
        </c:ser>
        <c:ser>
          <c:idx val="21"/>
          <c:order val="9"/>
          <c:tx>
            <c:strRef>
              <c:f>'NPV Summary'!$AM$54</c:f>
              <c:strCache>
                <c:ptCount val="1"/>
                <c:pt idx="0">
                  <c:v>10. Ground-Source Heat Pump w/ Fan Coils</c:v>
                </c:pt>
              </c:strCache>
            </c:strRef>
          </c:tx>
          <c:marker>
            <c:symbol val="none"/>
          </c:marker>
          <c:xVal>
            <c:numRef>
              <c:f>'NPV Summary'!$AQ$44:$AS$44</c:f>
              <c:numCache>
                <c:formatCode>General</c:formatCode>
                <c:ptCount val="3"/>
                <c:pt idx="0">
                  <c:v>15.0</c:v>
                </c:pt>
                <c:pt idx="1">
                  <c:v>20.0</c:v>
                </c:pt>
                <c:pt idx="2">
                  <c:v>25.0</c:v>
                </c:pt>
              </c:numCache>
            </c:numRef>
          </c:xVal>
          <c:yVal>
            <c:numRef>
              <c:f>'NPV Summary'!$AQ$54:$AS$54</c:f>
              <c:numCache>
                <c:formatCode>#,##0_ ;[Red]\-#,##0\ </c:formatCode>
                <c:ptCount val="3"/>
                <c:pt idx="0">
                  <c:v>0.0</c:v>
                </c:pt>
                <c:pt idx="1">
                  <c:v>0.0</c:v>
                </c:pt>
                <c:pt idx="2">
                  <c:v>0.0</c:v>
                </c:pt>
              </c:numCache>
            </c:numRef>
          </c:yVal>
          <c:smooth val="1"/>
        </c:ser>
        <c:ser>
          <c:idx val="23"/>
          <c:order val="10"/>
          <c:tx>
            <c:strRef>
              <c:f>'NPV Summary'!$AM$55</c:f>
              <c:strCache>
                <c:ptCount val="1"/>
                <c:pt idx="0">
                  <c:v>11. Packaged Ducted A/C Units</c:v>
                </c:pt>
              </c:strCache>
            </c:strRef>
          </c:tx>
          <c:marker>
            <c:symbol val="none"/>
          </c:marker>
          <c:xVal>
            <c:numRef>
              <c:f>'NPV Summary'!$AQ$44:$AS$44</c:f>
              <c:numCache>
                <c:formatCode>General</c:formatCode>
                <c:ptCount val="3"/>
                <c:pt idx="0">
                  <c:v>15.0</c:v>
                </c:pt>
                <c:pt idx="1">
                  <c:v>20.0</c:v>
                </c:pt>
                <c:pt idx="2">
                  <c:v>25.0</c:v>
                </c:pt>
              </c:numCache>
            </c:numRef>
          </c:xVal>
          <c:yVal>
            <c:numRef>
              <c:f>'NPV Summary'!$AQ$55:$AS$55</c:f>
              <c:numCache>
                <c:formatCode>#,##0_ ;[Red]\-#,##0\ </c:formatCode>
                <c:ptCount val="3"/>
                <c:pt idx="0">
                  <c:v>0.0</c:v>
                </c:pt>
                <c:pt idx="1">
                  <c:v>0.0</c:v>
                </c:pt>
                <c:pt idx="2">
                  <c:v>0.0</c:v>
                </c:pt>
              </c:numCache>
            </c:numRef>
          </c:yVal>
          <c:smooth val="1"/>
        </c:ser>
        <c:ser>
          <c:idx val="25"/>
          <c:order val="11"/>
          <c:tx>
            <c:strRef>
              <c:f>'NPV Summary'!$AM$56</c:f>
              <c:strCache>
                <c:ptCount val="1"/>
                <c:pt idx="0">
                  <c:v>12. VRF Multi Split System</c:v>
                </c:pt>
              </c:strCache>
            </c:strRef>
          </c:tx>
          <c:marker>
            <c:symbol val="none"/>
          </c:marker>
          <c:xVal>
            <c:numRef>
              <c:f>'NPV Summary'!$AQ$44:$AS$44</c:f>
              <c:numCache>
                <c:formatCode>General</c:formatCode>
                <c:ptCount val="3"/>
                <c:pt idx="0">
                  <c:v>15.0</c:v>
                </c:pt>
                <c:pt idx="1">
                  <c:v>20.0</c:v>
                </c:pt>
                <c:pt idx="2">
                  <c:v>25.0</c:v>
                </c:pt>
              </c:numCache>
            </c:numRef>
          </c:xVal>
          <c:yVal>
            <c:numRef>
              <c:f>'NPV Summary'!$AQ$56:$AS$56</c:f>
              <c:numCache>
                <c:formatCode>#,##0_ ;[Red]\-#,##0\ </c:formatCode>
                <c:ptCount val="3"/>
                <c:pt idx="0">
                  <c:v>282.0</c:v>
                </c:pt>
                <c:pt idx="1">
                  <c:v>346.7915988815295</c:v>
                </c:pt>
                <c:pt idx="2">
                  <c:v>389.888361122064</c:v>
                </c:pt>
              </c:numCache>
            </c:numRef>
          </c:yVal>
          <c:smooth val="1"/>
        </c:ser>
        <c:ser>
          <c:idx val="27"/>
          <c:order val="12"/>
          <c:tx>
            <c:strRef>
              <c:f>'NPV Summary'!$AM$57</c:f>
              <c:strCache>
                <c:ptCount val="1"/>
                <c:pt idx="0">
                  <c:v>13. Hybrid VRF Multi Split System</c:v>
                </c:pt>
              </c:strCache>
            </c:strRef>
          </c:tx>
          <c:marker>
            <c:symbol val="none"/>
          </c:marker>
          <c:xVal>
            <c:numRef>
              <c:f>'NPV Summary'!$AQ$44:$AS$44</c:f>
              <c:numCache>
                <c:formatCode>General</c:formatCode>
                <c:ptCount val="3"/>
                <c:pt idx="0">
                  <c:v>15.0</c:v>
                </c:pt>
                <c:pt idx="1">
                  <c:v>20.0</c:v>
                </c:pt>
                <c:pt idx="2">
                  <c:v>25.0</c:v>
                </c:pt>
              </c:numCache>
            </c:numRef>
          </c:xVal>
          <c:yVal>
            <c:numRef>
              <c:f>'NPV Summary'!$AQ$57:$AS$57</c:f>
              <c:numCache>
                <c:formatCode>#,##0_ ;[Red]\-#,##0\ </c:formatCode>
                <c:ptCount val="3"/>
                <c:pt idx="0">
                  <c:v>366.0</c:v>
                </c:pt>
                <c:pt idx="1">
                  <c:v>450.0912240802829</c:v>
                </c:pt>
                <c:pt idx="2">
                  <c:v>506.0253197541681</c:v>
                </c:pt>
              </c:numCache>
            </c:numRef>
          </c:yVal>
          <c:smooth val="1"/>
        </c:ser>
        <c:ser>
          <c:idx val="0"/>
          <c:order val="13"/>
          <c:tx>
            <c:strRef>
              <c:f>'NPV Summary'!$AM$58</c:f>
              <c:strCache>
                <c:ptCount val="1"/>
                <c:pt idx="0">
                  <c:v>14. Electric Radiant Heaters</c:v>
                </c:pt>
              </c:strCache>
            </c:strRef>
          </c:tx>
          <c:marker>
            <c:symbol val="none"/>
          </c:marker>
          <c:xVal>
            <c:numRef>
              <c:f>'NPV Summary'!$AQ$44:$AS$44</c:f>
              <c:numCache>
                <c:formatCode>General</c:formatCode>
                <c:ptCount val="3"/>
                <c:pt idx="0">
                  <c:v>15.0</c:v>
                </c:pt>
                <c:pt idx="1">
                  <c:v>20.0</c:v>
                </c:pt>
                <c:pt idx="2">
                  <c:v>25.0</c:v>
                </c:pt>
              </c:numCache>
            </c:numRef>
          </c:xVal>
          <c:yVal>
            <c:numRef>
              <c:f>'NPV Summary'!$AQ$58:$AS$58</c:f>
              <c:numCache>
                <c:formatCode>#,##0_ ;[Red]\-#,##0\ </c:formatCode>
                <c:ptCount val="3"/>
                <c:pt idx="0">
                  <c:v>177.0</c:v>
                </c:pt>
                <c:pt idx="1">
                  <c:v>194.6913230988573</c:v>
                </c:pt>
                <c:pt idx="2">
                  <c:v>206.4588787460955</c:v>
                </c:pt>
              </c:numCache>
            </c:numRef>
          </c:yVal>
          <c:smooth val="1"/>
        </c:ser>
        <c:dLbls>
          <c:showLegendKey val="0"/>
          <c:showVal val="0"/>
          <c:showCatName val="0"/>
          <c:showSerName val="0"/>
          <c:showPercent val="0"/>
          <c:showBubbleSize val="0"/>
        </c:dLbls>
        <c:axId val="-2133147400"/>
        <c:axId val="-2133141848"/>
      </c:scatterChart>
      <c:valAx>
        <c:axId val="-2133147400"/>
        <c:scaling>
          <c:orientation val="minMax"/>
          <c:min val="14.0"/>
        </c:scaling>
        <c:delete val="0"/>
        <c:axPos val="b"/>
        <c:title>
          <c:tx>
            <c:rich>
              <a:bodyPr/>
              <a:lstStyle/>
              <a:p>
                <a:pPr>
                  <a:defRPr sz="1600" b="1" i="0" u="none" strike="noStrike" baseline="0">
                    <a:solidFill>
                      <a:srgbClr val="000000"/>
                    </a:solidFill>
                    <a:latin typeface="Calibri"/>
                    <a:ea typeface="Calibri"/>
                    <a:cs typeface="Calibri"/>
                  </a:defRPr>
                </a:pPr>
                <a:r>
                  <a:rPr lang="en-US"/>
                  <a:t>Years</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33141848"/>
        <c:crosses val="autoZero"/>
        <c:crossBetween val="midCat"/>
      </c:valAx>
      <c:valAx>
        <c:axId val="-2133141848"/>
        <c:scaling>
          <c:orientation val="minMax"/>
        </c:scaling>
        <c:delete val="0"/>
        <c:axPos val="l"/>
        <c:majorGridlines/>
        <c:title>
          <c:tx>
            <c:rich>
              <a:bodyPr/>
              <a:lstStyle/>
              <a:p>
                <a:pPr>
                  <a:defRPr sz="1200" b="0" i="0" u="none" strike="noStrike" baseline="0">
                    <a:solidFill>
                      <a:srgbClr val="000000"/>
                    </a:solidFill>
                    <a:latin typeface="Calibri"/>
                    <a:ea typeface="Calibri"/>
                    <a:cs typeface="Calibri"/>
                  </a:defRPr>
                </a:pPr>
                <a:r>
                  <a:rPr lang="en-US"/>
                  <a:t>Capital Cost NPV NZ$/m2</a:t>
                </a:r>
              </a:p>
            </c:rich>
          </c:tx>
          <c:overlay val="0"/>
        </c:title>
        <c:numFmt formatCode="#,##0_ ;[Red]\-#,##0\ " sourceLinked="1"/>
        <c:majorTickMark val="out"/>
        <c:minorTickMark val="none"/>
        <c:tickLblPos val="nextTo"/>
        <c:crossAx val="-2133147400"/>
        <c:crosses val="autoZero"/>
        <c:crossBetween val="midCat"/>
      </c:valAx>
    </c:plotArea>
    <c:legend>
      <c:legendPos val="r"/>
      <c:layout>
        <c:manualLayout>
          <c:xMode val="edge"/>
          <c:yMode val="edge"/>
          <c:x val="0.656089887383263"/>
          <c:y val="0.134735095613048"/>
          <c:w val="0.329948956235122"/>
          <c:h val="0.804145669291338"/>
        </c:manualLayout>
      </c:layout>
      <c:overlay val="0"/>
      <c:txPr>
        <a:bodyPr/>
        <a:lstStyle/>
        <a:p>
          <a:pPr>
            <a:defRPr spc="-100"/>
          </a:pPr>
          <a:endParaRPr lang="en-US"/>
        </a:p>
      </c:txPr>
    </c:legend>
    <c:plotVisOnly val="1"/>
    <c:dispBlanksAs val="gap"/>
    <c:showDLblsOverMax val="0"/>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ea typeface="Calibri"/>
                <a:cs typeface="Calibri"/>
              </a:rPr>
              <a:t>Maintenance Cost NPV Trajectory (NZ$/m</a:t>
            </a:r>
            <a:r>
              <a:rPr lang="en-US" sz="1800" b="1" i="0" u="none" strike="noStrike" baseline="30000">
                <a:solidFill>
                  <a:srgbClr val="000000"/>
                </a:solidFill>
                <a:latin typeface="Calibri"/>
                <a:ea typeface="Calibri"/>
                <a:cs typeface="Calibri"/>
              </a:rPr>
              <a:t>2</a:t>
            </a:r>
            <a:r>
              <a:rPr lang="en-US" sz="1800" b="1" i="0" u="none" strike="noStrike" baseline="0">
                <a:solidFill>
                  <a:srgbClr val="000000"/>
                </a:solidFill>
                <a:latin typeface="Calibri"/>
                <a:ea typeface="Calibri"/>
                <a:cs typeface="Calibri"/>
              </a:rPr>
              <a:t>)</a:t>
            </a:r>
          </a:p>
        </c:rich>
      </c:tx>
      <c:overlay val="0"/>
    </c:title>
    <c:autoTitleDeleted val="0"/>
    <c:plotArea>
      <c:layout/>
      <c:scatterChart>
        <c:scatterStyle val="smoothMarker"/>
        <c:varyColors val="0"/>
        <c:ser>
          <c:idx val="6"/>
          <c:order val="0"/>
          <c:tx>
            <c:strRef>
              <c:f>'NPV Summary'!$AM$45</c:f>
              <c:strCache>
                <c:ptCount val="1"/>
                <c:pt idx="0">
                  <c:v>1. Central Wood Boiler w/ underfloor heating</c:v>
                </c:pt>
              </c:strCache>
            </c:strRef>
          </c:tx>
          <c:marker>
            <c:symbol val="none"/>
          </c:marker>
          <c:xVal>
            <c:numRef>
              <c:f>'NPV Summary'!$AT$44:$AV$44</c:f>
              <c:numCache>
                <c:formatCode>General</c:formatCode>
                <c:ptCount val="3"/>
                <c:pt idx="0">
                  <c:v>15.0</c:v>
                </c:pt>
                <c:pt idx="1">
                  <c:v>20.0</c:v>
                </c:pt>
                <c:pt idx="2">
                  <c:v>25.0</c:v>
                </c:pt>
              </c:numCache>
            </c:numRef>
          </c:xVal>
          <c:yVal>
            <c:numRef>
              <c:f>'NPV Summary'!$AT$45:$AV$45</c:f>
              <c:numCache>
                <c:formatCode>#,##0_ ;[Red]\-#,##0\ </c:formatCode>
                <c:ptCount val="3"/>
                <c:pt idx="0">
                  <c:v>0.0</c:v>
                </c:pt>
                <c:pt idx="1">
                  <c:v>0.0</c:v>
                </c:pt>
                <c:pt idx="2">
                  <c:v>0.0</c:v>
                </c:pt>
              </c:numCache>
            </c:numRef>
          </c:yVal>
          <c:smooth val="1"/>
        </c:ser>
        <c:ser>
          <c:idx val="7"/>
          <c:order val="1"/>
          <c:tx>
            <c:strRef>
              <c:f>'NPV Summary'!$AM$46</c:f>
              <c:strCache>
                <c:ptCount val="1"/>
                <c:pt idx="0">
                  <c:v>2. Central Wood Boiler w/ radiators</c:v>
                </c:pt>
              </c:strCache>
            </c:strRef>
          </c:tx>
          <c:marker>
            <c:symbol val="none"/>
          </c:marker>
          <c:xVal>
            <c:numRef>
              <c:f>'NPV Summary'!$AT$44:$AV$44</c:f>
              <c:numCache>
                <c:formatCode>General</c:formatCode>
                <c:ptCount val="3"/>
                <c:pt idx="0">
                  <c:v>15.0</c:v>
                </c:pt>
                <c:pt idx="1">
                  <c:v>20.0</c:v>
                </c:pt>
                <c:pt idx="2">
                  <c:v>25.0</c:v>
                </c:pt>
              </c:numCache>
            </c:numRef>
          </c:xVal>
          <c:yVal>
            <c:numRef>
              <c:f>'NPV Summary'!$AT$46:$AV$46</c:f>
              <c:numCache>
                <c:formatCode>#,##0_ ;[Red]\-#,##0\ </c:formatCode>
                <c:ptCount val="3"/>
                <c:pt idx="0">
                  <c:v>0.0</c:v>
                </c:pt>
                <c:pt idx="1">
                  <c:v>0.0</c:v>
                </c:pt>
                <c:pt idx="2">
                  <c:v>0.0</c:v>
                </c:pt>
              </c:numCache>
            </c:numRef>
          </c:yVal>
          <c:smooth val="1"/>
        </c:ser>
        <c:ser>
          <c:idx val="8"/>
          <c:order val="2"/>
          <c:tx>
            <c:strRef>
              <c:f>'NPV Summary'!$AM$47</c:f>
              <c:strCache>
                <c:ptCount val="1"/>
                <c:pt idx="0">
                  <c:v>3. Central Wood Boiler w/ fan coils</c:v>
                </c:pt>
              </c:strCache>
            </c:strRef>
          </c:tx>
          <c:marker>
            <c:symbol val="none"/>
          </c:marker>
          <c:xVal>
            <c:numRef>
              <c:f>'NPV Summary'!$AT$44:$AV$44</c:f>
              <c:numCache>
                <c:formatCode>General</c:formatCode>
                <c:ptCount val="3"/>
                <c:pt idx="0">
                  <c:v>15.0</c:v>
                </c:pt>
                <c:pt idx="1">
                  <c:v>20.0</c:v>
                </c:pt>
                <c:pt idx="2">
                  <c:v>25.0</c:v>
                </c:pt>
              </c:numCache>
            </c:numRef>
          </c:xVal>
          <c:yVal>
            <c:numRef>
              <c:f>'NPV Summary'!$AT$47:$AV$47</c:f>
              <c:numCache>
                <c:formatCode>#,##0_ ;[Red]\-#,##0\ </c:formatCode>
                <c:ptCount val="3"/>
                <c:pt idx="0">
                  <c:v>0.0</c:v>
                </c:pt>
                <c:pt idx="1">
                  <c:v>0.0</c:v>
                </c:pt>
                <c:pt idx="2">
                  <c:v>0.0</c:v>
                </c:pt>
              </c:numCache>
            </c:numRef>
          </c:yVal>
          <c:smooth val="1"/>
        </c:ser>
        <c:ser>
          <c:idx val="9"/>
          <c:order val="3"/>
          <c:tx>
            <c:strRef>
              <c:f>'NPV Summary'!$AM$48</c:f>
              <c:strCache>
                <c:ptCount val="1"/>
                <c:pt idx="0">
                  <c:v>4. Air-Source Heat Pump w/ underfloor heating</c:v>
                </c:pt>
              </c:strCache>
            </c:strRef>
          </c:tx>
          <c:marker>
            <c:symbol val="none"/>
          </c:marker>
          <c:xVal>
            <c:numRef>
              <c:f>'NPV Summary'!$AT$44:$AV$44</c:f>
              <c:numCache>
                <c:formatCode>General</c:formatCode>
                <c:ptCount val="3"/>
                <c:pt idx="0">
                  <c:v>15.0</c:v>
                </c:pt>
                <c:pt idx="1">
                  <c:v>20.0</c:v>
                </c:pt>
                <c:pt idx="2">
                  <c:v>25.0</c:v>
                </c:pt>
              </c:numCache>
            </c:numRef>
          </c:xVal>
          <c:yVal>
            <c:numRef>
              <c:f>'NPV Summary'!$AT$48:$AV$48</c:f>
              <c:numCache>
                <c:formatCode>#,##0_ ;[Red]\-#,##0\ </c:formatCode>
                <c:ptCount val="3"/>
                <c:pt idx="0">
                  <c:v>0.0</c:v>
                </c:pt>
                <c:pt idx="1">
                  <c:v>0.0</c:v>
                </c:pt>
                <c:pt idx="2">
                  <c:v>0.0</c:v>
                </c:pt>
              </c:numCache>
            </c:numRef>
          </c:yVal>
          <c:smooth val="1"/>
        </c:ser>
        <c:ser>
          <c:idx val="11"/>
          <c:order val="4"/>
          <c:tx>
            <c:strRef>
              <c:f>'NPV Summary'!$AM$49</c:f>
              <c:strCache>
                <c:ptCount val="1"/>
                <c:pt idx="0">
                  <c:v>5. Air-Source Heat Pump w/ low temp' radiators</c:v>
                </c:pt>
              </c:strCache>
            </c:strRef>
          </c:tx>
          <c:marker>
            <c:symbol val="none"/>
          </c:marker>
          <c:xVal>
            <c:numRef>
              <c:f>'NPV Summary'!$AT$44:$AV$44</c:f>
              <c:numCache>
                <c:formatCode>General</c:formatCode>
                <c:ptCount val="3"/>
                <c:pt idx="0">
                  <c:v>15.0</c:v>
                </c:pt>
                <c:pt idx="1">
                  <c:v>20.0</c:v>
                </c:pt>
                <c:pt idx="2">
                  <c:v>25.0</c:v>
                </c:pt>
              </c:numCache>
            </c:numRef>
          </c:xVal>
          <c:yVal>
            <c:numRef>
              <c:f>'NPV Summary'!$AT$49:$AV$49</c:f>
              <c:numCache>
                <c:formatCode>#,##0_ ;[Red]\-#,##0\ </c:formatCode>
                <c:ptCount val="3"/>
                <c:pt idx="0">
                  <c:v>36.70697934968694</c:v>
                </c:pt>
                <c:pt idx="1">
                  <c:v>46.71582177590065</c:v>
                </c:pt>
                <c:pt idx="2">
                  <c:v>55.51665556920781</c:v>
                </c:pt>
              </c:numCache>
            </c:numRef>
          </c:yVal>
          <c:smooth val="1"/>
        </c:ser>
        <c:ser>
          <c:idx val="13"/>
          <c:order val="5"/>
          <c:tx>
            <c:strRef>
              <c:f>'NPV Summary'!$AM$50</c:f>
              <c:strCache>
                <c:ptCount val="1"/>
                <c:pt idx="0">
                  <c:v>6. Air-Source Heat Pump w/ fan coils</c:v>
                </c:pt>
              </c:strCache>
            </c:strRef>
          </c:tx>
          <c:marker>
            <c:symbol val="none"/>
          </c:marker>
          <c:xVal>
            <c:numRef>
              <c:f>'NPV Summary'!$AT$44:$AV$44</c:f>
              <c:numCache>
                <c:formatCode>General</c:formatCode>
                <c:ptCount val="3"/>
                <c:pt idx="0">
                  <c:v>15.0</c:v>
                </c:pt>
                <c:pt idx="1">
                  <c:v>20.0</c:v>
                </c:pt>
                <c:pt idx="2">
                  <c:v>25.0</c:v>
                </c:pt>
              </c:numCache>
            </c:numRef>
          </c:xVal>
          <c:yVal>
            <c:numRef>
              <c:f>'NPV Summary'!$AT$50:$AV$50</c:f>
              <c:numCache>
                <c:formatCode>#,##0_ ;[Red]\-#,##0\ </c:formatCode>
                <c:ptCount val="3"/>
                <c:pt idx="0">
                  <c:v>45.03764132975774</c:v>
                </c:pt>
                <c:pt idx="1">
                  <c:v>57.31799409383556</c:v>
                </c:pt>
                <c:pt idx="2">
                  <c:v>68.1161802373968</c:v>
                </c:pt>
              </c:numCache>
            </c:numRef>
          </c:yVal>
          <c:smooth val="1"/>
        </c:ser>
        <c:ser>
          <c:idx val="15"/>
          <c:order val="6"/>
          <c:tx>
            <c:strRef>
              <c:f>'NPV Summary'!$AM$51</c:f>
              <c:strCache>
                <c:ptCount val="1"/>
                <c:pt idx="0">
                  <c:v>7. Individual Split A/C Units</c:v>
                </c:pt>
              </c:strCache>
            </c:strRef>
          </c:tx>
          <c:marker>
            <c:symbol val="none"/>
          </c:marker>
          <c:xVal>
            <c:numRef>
              <c:f>'NPV Summary'!$AT$44:$AV$44</c:f>
              <c:numCache>
                <c:formatCode>General</c:formatCode>
                <c:ptCount val="3"/>
                <c:pt idx="0">
                  <c:v>15.0</c:v>
                </c:pt>
                <c:pt idx="1">
                  <c:v>20.0</c:v>
                </c:pt>
                <c:pt idx="2">
                  <c:v>25.0</c:v>
                </c:pt>
              </c:numCache>
            </c:numRef>
          </c:xVal>
          <c:yVal>
            <c:numRef>
              <c:f>'NPV Summary'!$AT$51:$AV$51</c:f>
              <c:numCache>
                <c:formatCode>#,##0_ ;[Red]\-#,##0\ </c:formatCode>
                <c:ptCount val="3"/>
                <c:pt idx="0">
                  <c:v>29.6397479232751</c:v>
                </c:pt>
                <c:pt idx="1">
                  <c:v>37.18325365937337</c:v>
                </c:pt>
                <c:pt idx="2">
                  <c:v>41.23542381374196</c:v>
                </c:pt>
              </c:numCache>
            </c:numRef>
          </c:yVal>
          <c:smooth val="1"/>
        </c:ser>
        <c:ser>
          <c:idx val="17"/>
          <c:order val="7"/>
          <c:tx>
            <c:strRef>
              <c:f>'NPV Summary'!$AM$52</c:f>
              <c:strCache>
                <c:ptCount val="1"/>
                <c:pt idx="0">
                  <c:v>8. Ground-Source Heat Pump w/ Underfloor Heating</c:v>
                </c:pt>
              </c:strCache>
            </c:strRef>
          </c:tx>
          <c:marker>
            <c:symbol val="none"/>
          </c:marker>
          <c:xVal>
            <c:numRef>
              <c:f>'NPV Summary'!$AT$44:$AV$44</c:f>
              <c:numCache>
                <c:formatCode>General</c:formatCode>
                <c:ptCount val="3"/>
                <c:pt idx="0">
                  <c:v>15.0</c:v>
                </c:pt>
                <c:pt idx="1">
                  <c:v>20.0</c:v>
                </c:pt>
                <c:pt idx="2">
                  <c:v>25.0</c:v>
                </c:pt>
              </c:numCache>
            </c:numRef>
          </c:xVal>
          <c:yVal>
            <c:numRef>
              <c:f>'NPV Summary'!$AT$52:$AV$52</c:f>
              <c:numCache>
                <c:formatCode>#,##0_ ;[Red]\-#,##0\ </c:formatCode>
                <c:ptCount val="3"/>
                <c:pt idx="0">
                  <c:v>0.0</c:v>
                </c:pt>
                <c:pt idx="1">
                  <c:v>0.0</c:v>
                </c:pt>
                <c:pt idx="2">
                  <c:v>0.0</c:v>
                </c:pt>
              </c:numCache>
            </c:numRef>
          </c:yVal>
          <c:smooth val="1"/>
        </c:ser>
        <c:ser>
          <c:idx val="19"/>
          <c:order val="8"/>
          <c:tx>
            <c:strRef>
              <c:f>'NPV Summary'!$AM$53</c:f>
              <c:strCache>
                <c:ptCount val="1"/>
                <c:pt idx="0">
                  <c:v>9. Ground-Source Heat Pump w/ Radiators</c:v>
                </c:pt>
              </c:strCache>
            </c:strRef>
          </c:tx>
          <c:marker>
            <c:symbol val="none"/>
          </c:marker>
          <c:xVal>
            <c:numRef>
              <c:f>'NPV Summary'!$AT$44:$AV$44</c:f>
              <c:numCache>
                <c:formatCode>General</c:formatCode>
                <c:ptCount val="3"/>
                <c:pt idx="0">
                  <c:v>15.0</c:v>
                </c:pt>
                <c:pt idx="1">
                  <c:v>20.0</c:v>
                </c:pt>
                <c:pt idx="2">
                  <c:v>25.0</c:v>
                </c:pt>
              </c:numCache>
            </c:numRef>
          </c:xVal>
          <c:yVal>
            <c:numRef>
              <c:f>'NPV Summary'!$AT$53:$AV$53</c:f>
              <c:numCache>
                <c:formatCode>#,##0_ ;[Red]\-#,##0\ </c:formatCode>
                <c:ptCount val="3"/>
                <c:pt idx="0">
                  <c:v>0.0</c:v>
                </c:pt>
                <c:pt idx="1">
                  <c:v>0.0</c:v>
                </c:pt>
                <c:pt idx="2">
                  <c:v>0.0</c:v>
                </c:pt>
              </c:numCache>
            </c:numRef>
          </c:yVal>
          <c:smooth val="1"/>
        </c:ser>
        <c:ser>
          <c:idx val="21"/>
          <c:order val="9"/>
          <c:tx>
            <c:strRef>
              <c:f>'NPV Summary'!$AM$54</c:f>
              <c:strCache>
                <c:ptCount val="1"/>
                <c:pt idx="0">
                  <c:v>10. Ground-Source Heat Pump w/ Fan Coils</c:v>
                </c:pt>
              </c:strCache>
            </c:strRef>
          </c:tx>
          <c:marker>
            <c:symbol val="none"/>
          </c:marker>
          <c:xVal>
            <c:numRef>
              <c:f>'NPV Summary'!$AT$44:$AV$44</c:f>
              <c:numCache>
                <c:formatCode>General</c:formatCode>
                <c:ptCount val="3"/>
                <c:pt idx="0">
                  <c:v>15.0</c:v>
                </c:pt>
                <c:pt idx="1">
                  <c:v>20.0</c:v>
                </c:pt>
                <c:pt idx="2">
                  <c:v>25.0</c:v>
                </c:pt>
              </c:numCache>
            </c:numRef>
          </c:xVal>
          <c:yVal>
            <c:numRef>
              <c:f>'NPV Summary'!$AT$54:$AV$54</c:f>
              <c:numCache>
                <c:formatCode>#,##0_ ;[Red]\-#,##0\ </c:formatCode>
                <c:ptCount val="3"/>
                <c:pt idx="0">
                  <c:v>0.0</c:v>
                </c:pt>
                <c:pt idx="1">
                  <c:v>0.0</c:v>
                </c:pt>
                <c:pt idx="2">
                  <c:v>0.0</c:v>
                </c:pt>
              </c:numCache>
            </c:numRef>
          </c:yVal>
          <c:smooth val="1"/>
        </c:ser>
        <c:ser>
          <c:idx val="23"/>
          <c:order val="10"/>
          <c:tx>
            <c:strRef>
              <c:f>'NPV Summary'!$AM$55</c:f>
              <c:strCache>
                <c:ptCount val="1"/>
                <c:pt idx="0">
                  <c:v>11. Packaged Ducted A/C Units</c:v>
                </c:pt>
              </c:strCache>
            </c:strRef>
          </c:tx>
          <c:marker>
            <c:symbol val="none"/>
          </c:marker>
          <c:xVal>
            <c:numRef>
              <c:f>'NPV Summary'!$AT$44:$AV$44</c:f>
              <c:numCache>
                <c:formatCode>General</c:formatCode>
                <c:ptCount val="3"/>
                <c:pt idx="0">
                  <c:v>15.0</c:v>
                </c:pt>
                <c:pt idx="1">
                  <c:v>20.0</c:v>
                </c:pt>
                <c:pt idx="2">
                  <c:v>25.0</c:v>
                </c:pt>
              </c:numCache>
            </c:numRef>
          </c:xVal>
          <c:yVal>
            <c:numRef>
              <c:f>'NPV Summary'!$AT$55:$AV$55</c:f>
              <c:numCache>
                <c:formatCode>#,##0_ ;[Red]\-#,##0\ </c:formatCode>
                <c:ptCount val="3"/>
                <c:pt idx="0">
                  <c:v>0.0</c:v>
                </c:pt>
                <c:pt idx="1">
                  <c:v>0.0</c:v>
                </c:pt>
                <c:pt idx="2">
                  <c:v>0.0</c:v>
                </c:pt>
              </c:numCache>
            </c:numRef>
          </c:yVal>
          <c:smooth val="1"/>
        </c:ser>
        <c:ser>
          <c:idx val="25"/>
          <c:order val="11"/>
          <c:tx>
            <c:strRef>
              <c:f>'NPV Summary'!$AM$56</c:f>
              <c:strCache>
                <c:ptCount val="1"/>
                <c:pt idx="0">
                  <c:v>12. VRF Multi Split System</c:v>
                </c:pt>
              </c:strCache>
            </c:strRef>
          </c:tx>
          <c:marker>
            <c:symbol val="none"/>
          </c:marker>
          <c:xVal>
            <c:numRef>
              <c:f>'NPV Summary'!$AT$44:$AV$44</c:f>
              <c:numCache>
                <c:formatCode>General</c:formatCode>
                <c:ptCount val="3"/>
                <c:pt idx="0">
                  <c:v>15.0</c:v>
                </c:pt>
                <c:pt idx="1">
                  <c:v>20.0</c:v>
                </c:pt>
                <c:pt idx="2">
                  <c:v>25.0</c:v>
                </c:pt>
              </c:numCache>
            </c:numRef>
          </c:xVal>
          <c:yVal>
            <c:numRef>
              <c:f>'NPV Summary'!$AT$56:$AV$56</c:f>
              <c:numCache>
                <c:formatCode>#,##0_ ;[Red]\-#,##0\ </c:formatCode>
                <c:ptCount val="3"/>
                <c:pt idx="0">
                  <c:v>42.01865340827102</c:v>
                </c:pt>
                <c:pt idx="1">
                  <c:v>48.68953060625618</c:v>
                </c:pt>
                <c:pt idx="2">
                  <c:v>55.55972691213372</c:v>
                </c:pt>
              </c:numCache>
            </c:numRef>
          </c:yVal>
          <c:smooth val="1"/>
        </c:ser>
        <c:ser>
          <c:idx val="27"/>
          <c:order val="12"/>
          <c:tx>
            <c:strRef>
              <c:f>'NPV Summary'!$AM$57</c:f>
              <c:strCache>
                <c:ptCount val="1"/>
                <c:pt idx="0">
                  <c:v>13. Hybrid VRF Multi Split System</c:v>
                </c:pt>
              </c:strCache>
            </c:strRef>
          </c:tx>
          <c:marker>
            <c:symbol val="none"/>
          </c:marker>
          <c:xVal>
            <c:numRef>
              <c:f>'NPV Summary'!$AT$44:$AV$44</c:f>
              <c:numCache>
                <c:formatCode>General</c:formatCode>
                <c:ptCount val="3"/>
                <c:pt idx="0">
                  <c:v>15.0</c:v>
                </c:pt>
                <c:pt idx="1">
                  <c:v>20.0</c:v>
                </c:pt>
                <c:pt idx="2">
                  <c:v>25.0</c:v>
                </c:pt>
              </c:numCache>
            </c:numRef>
          </c:xVal>
          <c:yVal>
            <c:numRef>
              <c:f>'NPV Summary'!$AT$57:$AV$57</c:f>
              <c:numCache>
                <c:formatCode>#,##0_ ;[Red]\-#,##0\ </c:formatCode>
                <c:ptCount val="3"/>
                <c:pt idx="0">
                  <c:v>54.53484804052196</c:v>
                </c:pt>
                <c:pt idx="1">
                  <c:v>71.35937514997163</c:v>
                </c:pt>
                <c:pt idx="2">
                  <c:v>86.6747421136932</c:v>
                </c:pt>
              </c:numCache>
            </c:numRef>
          </c:yVal>
          <c:smooth val="1"/>
        </c:ser>
        <c:ser>
          <c:idx val="0"/>
          <c:order val="13"/>
          <c:tx>
            <c:strRef>
              <c:f>'NPV Summary'!$AM$58</c:f>
              <c:strCache>
                <c:ptCount val="1"/>
                <c:pt idx="0">
                  <c:v>14. Electric Radiant Heaters</c:v>
                </c:pt>
              </c:strCache>
            </c:strRef>
          </c:tx>
          <c:marker>
            <c:symbol val="none"/>
          </c:marker>
          <c:xVal>
            <c:numRef>
              <c:f>'NPV Summary'!$AT$44:$AV$44</c:f>
              <c:numCache>
                <c:formatCode>General</c:formatCode>
                <c:ptCount val="3"/>
                <c:pt idx="0">
                  <c:v>15.0</c:v>
                </c:pt>
                <c:pt idx="1">
                  <c:v>20.0</c:v>
                </c:pt>
                <c:pt idx="2">
                  <c:v>25.0</c:v>
                </c:pt>
              </c:numCache>
            </c:numRef>
          </c:xVal>
          <c:yVal>
            <c:numRef>
              <c:f>'NPV Summary'!$AT$58:$AV$58</c:f>
              <c:numCache>
                <c:formatCode>#,##0_ ;[Red]\-#,##0\ </c:formatCode>
                <c:ptCount val="3"/>
                <c:pt idx="0">
                  <c:v>11.4731784128967</c:v>
                </c:pt>
                <c:pt idx="1">
                  <c:v>13.29465906624725</c:v>
                </c:pt>
                <c:pt idx="2">
                  <c:v>15.1705637313273</c:v>
                </c:pt>
              </c:numCache>
            </c:numRef>
          </c:yVal>
          <c:smooth val="1"/>
        </c:ser>
        <c:dLbls>
          <c:showLegendKey val="0"/>
          <c:showVal val="0"/>
          <c:showCatName val="0"/>
          <c:showSerName val="0"/>
          <c:showPercent val="0"/>
          <c:showBubbleSize val="0"/>
        </c:dLbls>
        <c:axId val="-2134027672"/>
        <c:axId val="-2134569048"/>
      </c:scatterChart>
      <c:valAx>
        <c:axId val="-2134027672"/>
        <c:scaling>
          <c:orientation val="minMax"/>
          <c:min val="14.0"/>
        </c:scaling>
        <c:delete val="0"/>
        <c:axPos val="b"/>
        <c:title>
          <c:tx>
            <c:rich>
              <a:bodyPr/>
              <a:lstStyle/>
              <a:p>
                <a:pPr>
                  <a:defRPr sz="1600" b="1" i="0" u="none" strike="noStrike" baseline="0">
                    <a:solidFill>
                      <a:srgbClr val="000000"/>
                    </a:solidFill>
                    <a:latin typeface="Calibri"/>
                    <a:ea typeface="Calibri"/>
                    <a:cs typeface="Calibri"/>
                  </a:defRPr>
                </a:pPr>
                <a:r>
                  <a:rPr lang="en-US"/>
                  <a:t>Years</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34569048"/>
        <c:crosses val="autoZero"/>
        <c:crossBetween val="midCat"/>
      </c:valAx>
      <c:valAx>
        <c:axId val="-2134569048"/>
        <c:scaling>
          <c:orientation val="minMax"/>
        </c:scaling>
        <c:delete val="0"/>
        <c:axPos val="l"/>
        <c:majorGridlines/>
        <c:title>
          <c:tx>
            <c:rich>
              <a:bodyPr/>
              <a:lstStyle/>
              <a:p>
                <a:pPr>
                  <a:defRPr sz="1200" b="0" i="0" u="none" strike="noStrike" baseline="0">
                    <a:solidFill>
                      <a:srgbClr val="000000"/>
                    </a:solidFill>
                    <a:latin typeface="Calibri"/>
                    <a:ea typeface="Calibri"/>
                    <a:cs typeface="Calibri"/>
                  </a:defRPr>
                </a:pPr>
                <a:r>
                  <a:rPr lang="en-US"/>
                  <a:t>Maintenance Cost NPV NZ$/m2</a:t>
                </a:r>
              </a:p>
            </c:rich>
          </c:tx>
          <c:overlay val="0"/>
        </c:title>
        <c:numFmt formatCode="#,##0_ ;[Red]\-#,##0\ " sourceLinked="1"/>
        <c:majorTickMark val="out"/>
        <c:minorTickMark val="none"/>
        <c:tickLblPos val="nextTo"/>
        <c:crossAx val="-2134027672"/>
        <c:crosses val="autoZero"/>
        <c:crossBetween val="midCat"/>
      </c:valAx>
    </c:plotArea>
    <c:legend>
      <c:legendPos val="r"/>
      <c:layout>
        <c:manualLayout>
          <c:xMode val="edge"/>
          <c:yMode val="edge"/>
          <c:x val="0.656089906134614"/>
          <c:y val="0.123880483689539"/>
          <c:w val="0.320628364251079"/>
          <c:h val="0.804145669291338"/>
        </c:manualLayout>
      </c:layout>
      <c:overlay val="0"/>
    </c:legend>
    <c:plotVisOnly val="1"/>
    <c:dispBlanksAs val="gap"/>
    <c:showDLblsOverMax val="0"/>
  </c:chart>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ea typeface="Calibri"/>
                <a:cs typeface="Calibri"/>
              </a:rPr>
              <a:t>Fuel Cost NPV Trajectory (NZ$/m</a:t>
            </a:r>
            <a:r>
              <a:rPr lang="en-US" sz="1800" b="1" i="0" u="none" strike="noStrike" baseline="30000">
                <a:solidFill>
                  <a:srgbClr val="000000"/>
                </a:solidFill>
                <a:latin typeface="Calibri"/>
                <a:ea typeface="Calibri"/>
                <a:cs typeface="Calibri"/>
              </a:rPr>
              <a:t>2</a:t>
            </a:r>
            <a:r>
              <a:rPr lang="en-US" sz="1800" b="1" i="0" u="none" strike="noStrike" baseline="0">
                <a:solidFill>
                  <a:srgbClr val="000000"/>
                </a:solidFill>
                <a:latin typeface="Calibri"/>
                <a:ea typeface="Calibri"/>
                <a:cs typeface="Calibri"/>
              </a:rPr>
              <a:t>)</a:t>
            </a:r>
          </a:p>
        </c:rich>
      </c:tx>
      <c:overlay val="0"/>
    </c:title>
    <c:autoTitleDeleted val="0"/>
    <c:plotArea>
      <c:layout/>
      <c:scatterChart>
        <c:scatterStyle val="smoothMarker"/>
        <c:varyColors val="0"/>
        <c:ser>
          <c:idx val="6"/>
          <c:order val="0"/>
          <c:tx>
            <c:strRef>
              <c:f>'NPV Summary'!$AM$45</c:f>
              <c:strCache>
                <c:ptCount val="1"/>
                <c:pt idx="0">
                  <c:v>1. Central Wood Boiler w/ underfloor heating</c:v>
                </c:pt>
              </c:strCache>
            </c:strRef>
          </c:tx>
          <c:marker>
            <c:symbol val="none"/>
          </c:marker>
          <c:xVal>
            <c:numRef>
              <c:f>'NPV Summary'!$AW$44:$AY$44</c:f>
              <c:numCache>
                <c:formatCode>General</c:formatCode>
                <c:ptCount val="3"/>
                <c:pt idx="0">
                  <c:v>15.0</c:v>
                </c:pt>
                <c:pt idx="1">
                  <c:v>20.0</c:v>
                </c:pt>
                <c:pt idx="2">
                  <c:v>25.0</c:v>
                </c:pt>
              </c:numCache>
            </c:numRef>
          </c:xVal>
          <c:yVal>
            <c:numRef>
              <c:f>'NPV Summary'!$AW$45:$AY$45</c:f>
              <c:numCache>
                <c:formatCode>#,##0_ ;[Red]\-#,##0\ </c:formatCode>
                <c:ptCount val="3"/>
                <c:pt idx="0">
                  <c:v>0.0</c:v>
                </c:pt>
                <c:pt idx="1">
                  <c:v>0.0</c:v>
                </c:pt>
                <c:pt idx="2">
                  <c:v>0.0</c:v>
                </c:pt>
              </c:numCache>
            </c:numRef>
          </c:yVal>
          <c:smooth val="1"/>
        </c:ser>
        <c:ser>
          <c:idx val="7"/>
          <c:order val="1"/>
          <c:tx>
            <c:strRef>
              <c:f>'NPV Summary'!$AM$46</c:f>
              <c:strCache>
                <c:ptCount val="1"/>
                <c:pt idx="0">
                  <c:v>2. Central Wood Boiler w/ radiators</c:v>
                </c:pt>
              </c:strCache>
            </c:strRef>
          </c:tx>
          <c:marker>
            <c:symbol val="none"/>
          </c:marker>
          <c:xVal>
            <c:numRef>
              <c:f>'NPV Summary'!$AW$44:$AY$44</c:f>
              <c:numCache>
                <c:formatCode>General</c:formatCode>
                <c:ptCount val="3"/>
                <c:pt idx="0">
                  <c:v>15.0</c:v>
                </c:pt>
                <c:pt idx="1">
                  <c:v>20.0</c:v>
                </c:pt>
                <c:pt idx="2">
                  <c:v>25.0</c:v>
                </c:pt>
              </c:numCache>
            </c:numRef>
          </c:xVal>
          <c:yVal>
            <c:numRef>
              <c:f>'NPV Summary'!$AW$46:$AY$46</c:f>
              <c:numCache>
                <c:formatCode>#,##0_ ;[Red]\-#,##0\ </c:formatCode>
                <c:ptCount val="3"/>
                <c:pt idx="0">
                  <c:v>0.0</c:v>
                </c:pt>
                <c:pt idx="1">
                  <c:v>0.0</c:v>
                </c:pt>
                <c:pt idx="2">
                  <c:v>0.0</c:v>
                </c:pt>
              </c:numCache>
            </c:numRef>
          </c:yVal>
          <c:smooth val="1"/>
        </c:ser>
        <c:ser>
          <c:idx val="8"/>
          <c:order val="2"/>
          <c:tx>
            <c:strRef>
              <c:f>'NPV Summary'!$AM$47</c:f>
              <c:strCache>
                <c:ptCount val="1"/>
                <c:pt idx="0">
                  <c:v>3. Central Wood Boiler w/ fan coils</c:v>
                </c:pt>
              </c:strCache>
            </c:strRef>
          </c:tx>
          <c:marker>
            <c:symbol val="none"/>
          </c:marker>
          <c:xVal>
            <c:numRef>
              <c:f>'NPV Summary'!$AW$44:$AY$44</c:f>
              <c:numCache>
                <c:formatCode>General</c:formatCode>
                <c:ptCount val="3"/>
                <c:pt idx="0">
                  <c:v>15.0</c:v>
                </c:pt>
                <c:pt idx="1">
                  <c:v>20.0</c:v>
                </c:pt>
                <c:pt idx="2">
                  <c:v>25.0</c:v>
                </c:pt>
              </c:numCache>
            </c:numRef>
          </c:xVal>
          <c:yVal>
            <c:numRef>
              <c:f>'NPV Summary'!$AW$47:$AY$47</c:f>
              <c:numCache>
                <c:formatCode>#,##0_ ;[Red]\-#,##0\ </c:formatCode>
                <c:ptCount val="3"/>
                <c:pt idx="0">
                  <c:v>0.0</c:v>
                </c:pt>
                <c:pt idx="1">
                  <c:v>0.0</c:v>
                </c:pt>
                <c:pt idx="2">
                  <c:v>0.0</c:v>
                </c:pt>
              </c:numCache>
            </c:numRef>
          </c:yVal>
          <c:smooth val="1"/>
        </c:ser>
        <c:ser>
          <c:idx val="9"/>
          <c:order val="3"/>
          <c:tx>
            <c:strRef>
              <c:f>'NPV Summary'!$AM$48</c:f>
              <c:strCache>
                <c:ptCount val="1"/>
                <c:pt idx="0">
                  <c:v>4. Air-Source Heat Pump w/ underfloor heating</c:v>
                </c:pt>
              </c:strCache>
            </c:strRef>
          </c:tx>
          <c:marker>
            <c:symbol val="none"/>
          </c:marker>
          <c:xVal>
            <c:numRef>
              <c:f>'NPV Summary'!$AW$44:$AY$44</c:f>
              <c:numCache>
                <c:formatCode>General</c:formatCode>
                <c:ptCount val="3"/>
                <c:pt idx="0">
                  <c:v>15.0</c:v>
                </c:pt>
                <c:pt idx="1">
                  <c:v>20.0</c:v>
                </c:pt>
                <c:pt idx="2">
                  <c:v>25.0</c:v>
                </c:pt>
              </c:numCache>
            </c:numRef>
          </c:xVal>
          <c:yVal>
            <c:numRef>
              <c:f>'NPV Summary'!$AW$48:$AY$48</c:f>
              <c:numCache>
                <c:formatCode>#,##0_ ;[Red]\-#,##0\ </c:formatCode>
                <c:ptCount val="3"/>
                <c:pt idx="0">
                  <c:v>0.0</c:v>
                </c:pt>
                <c:pt idx="1">
                  <c:v>0.0</c:v>
                </c:pt>
                <c:pt idx="2">
                  <c:v>0.0</c:v>
                </c:pt>
              </c:numCache>
            </c:numRef>
          </c:yVal>
          <c:smooth val="1"/>
        </c:ser>
        <c:ser>
          <c:idx val="11"/>
          <c:order val="4"/>
          <c:tx>
            <c:strRef>
              <c:f>'NPV Summary'!$AM$49</c:f>
              <c:strCache>
                <c:ptCount val="1"/>
                <c:pt idx="0">
                  <c:v>5. Air-Source Heat Pump w/ low temp' radiators</c:v>
                </c:pt>
              </c:strCache>
            </c:strRef>
          </c:tx>
          <c:marker>
            <c:symbol val="none"/>
          </c:marker>
          <c:xVal>
            <c:numRef>
              <c:f>'NPV Summary'!$AW$44:$AY$44</c:f>
              <c:numCache>
                <c:formatCode>General</c:formatCode>
                <c:ptCount val="3"/>
                <c:pt idx="0">
                  <c:v>15.0</c:v>
                </c:pt>
                <c:pt idx="1">
                  <c:v>20.0</c:v>
                </c:pt>
                <c:pt idx="2">
                  <c:v>25.0</c:v>
                </c:pt>
              </c:numCache>
            </c:numRef>
          </c:xVal>
          <c:yVal>
            <c:numRef>
              <c:f>'NPV Summary'!$AW$49:$AY$49</c:f>
              <c:numCache>
                <c:formatCode>#,##0_ ;[Red]\-#,##0\ </c:formatCode>
                <c:ptCount val="3"/>
                <c:pt idx="0">
                  <c:v>7.07144870564973</c:v>
                </c:pt>
                <c:pt idx="1">
                  <c:v>8.578114533123551</c:v>
                </c:pt>
                <c:pt idx="2">
                  <c:v>9.792053259445776</c:v>
                </c:pt>
              </c:numCache>
            </c:numRef>
          </c:yVal>
          <c:smooth val="1"/>
        </c:ser>
        <c:ser>
          <c:idx val="13"/>
          <c:order val="5"/>
          <c:tx>
            <c:strRef>
              <c:f>'NPV Summary'!$AM$50</c:f>
              <c:strCache>
                <c:ptCount val="1"/>
                <c:pt idx="0">
                  <c:v>6. Air-Source Heat Pump w/ fan coils</c:v>
                </c:pt>
              </c:strCache>
            </c:strRef>
          </c:tx>
          <c:marker>
            <c:symbol val="none"/>
          </c:marker>
          <c:xVal>
            <c:numRef>
              <c:f>'NPV Summary'!$AW$44:$AY$44</c:f>
              <c:numCache>
                <c:formatCode>General</c:formatCode>
                <c:ptCount val="3"/>
                <c:pt idx="0">
                  <c:v>15.0</c:v>
                </c:pt>
                <c:pt idx="1">
                  <c:v>20.0</c:v>
                </c:pt>
                <c:pt idx="2">
                  <c:v>25.0</c:v>
                </c:pt>
              </c:numCache>
            </c:numRef>
          </c:xVal>
          <c:yVal>
            <c:numRef>
              <c:f>'NPV Summary'!$AW$50:$AY$50</c:f>
              <c:numCache>
                <c:formatCode>#,##0_ ;[Red]\-#,##0\ </c:formatCode>
                <c:ptCount val="3"/>
                <c:pt idx="0">
                  <c:v>7.07144870564973</c:v>
                </c:pt>
                <c:pt idx="1">
                  <c:v>8.578114533123551</c:v>
                </c:pt>
                <c:pt idx="2">
                  <c:v>9.792053259445776</c:v>
                </c:pt>
              </c:numCache>
            </c:numRef>
          </c:yVal>
          <c:smooth val="1"/>
        </c:ser>
        <c:ser>
          <c:idx val="15"/>
          <c:order val="6"/>
          <c:tx>
            <c:strRef>
              <c:f>'NPV Summary'!$AM$51</c:f>
              <c:strCache>
                <c:ptCount val="1"/>
                <c:pt idx="0">
                  <c:v>7. Individual Split A/C Units</c:v>
                </c:pt>
              </c:strCache>
            </c:strRef>
          </c:tx>
          <c:marker>
            <c:symbol val="none"/>
          </c:marker>
          <c:xVal>
            <c:numRef>
              <c:f>'NPV Summary'!$AW$44:$AY$44</c:f>
              <c:numCache>
                <c:formatCode>General</c:formatCode>
                <c:ptCount val="3"/>
                <c:pt idx="0">
                  <c:v>15.0</c:v>
                </c:pt>
                <c:pt idx="1">
                  <c:v>20.0</c:v>
                </c:pt>
                <c:pt idx="2">
                  <c:v>25.0</c:v>
                </c:pt>
              </c:numCache>
            </c:numRef>
          </c:xVal>
          <c:yVal>
            <c:numRef>
              <c:f>'NPV Summary'!$AW$51:$AY$51</c:f>
              <c:numCache>
                <c:formatCode>#,##0_ ;[Red]\-#,##0\ </c:formatCode>
                <c:ptCount val="3"/>
                <c:pt idx="0">
                  <c:v>7.223522871362624</c:v>
                </c:pt>
                <c:pt idx="1">
                  <c:v>8.762590114481044</c:v>
                </c:pt>
                <c:pt idx="2">
                  <c:v>10.00263504997149</c:v>
                </c:pt>
              </c:numCache>
            </c:numRef>
          </c:yVal>
          <c:smooth val="1"/>
        </c:ser>
        <c:ser>
          <c:idx val="17"/>
          <c:order val="7"/>
          <c:tx>
            <c:strRef>
              <c:f>'NPV Summary'!$AM$52</c:f>
              <c:strCache>
                <c:ptCount val="1"/>
                <c:pt idx="0">
                  <c:v>8. Ground-Source Heat Pump w/ Underfloor Heating</c:v>
                </c:pt>
              </c:strCache>
            </c:strRef>
          </c:tx>
          <c:marker>
            <c:symbol val="none"/>
          </c:marker>
          <c:xVal>
            <c:numRef>
              <c:f>'NPV Summary'!$AW$44:$AY$44</c:f>
              <c:numCache>
                <c:formatCode>General</c:formatCode>
                <c:ptCount val="3"/>
                <c:pt idx="0">
                  <c:v>15.0</c:v>
                </c:pt>
                <c:pt idx="1">
                  <c:v>20.0</c:v>
                </c:pt>
                <c:pt idx="2">
                  <c:v>25.0</c:v>
                </c:pt>
              </c:numCache>
            </c:numRef>
          </c:xVal>
          <c:yVal>
            <c:numRef>
              <c:f>'NPV Summary'!$AW$52:$AY$52</c:f>
              <c:numCache>
                <c:formatCode>#,##0_ ;[Red]\-#,##0\ </c:formatCode>
                <c:ptCount val="3"/>
                <c:pt idx="0">
                  <c:v>0.0</c:v>
                </c:pt>
                <c:pt idx="1">
                  <c:v>0.0</c:v>
                </c:pt>
                <c:pt idx="2">
                  <c:v>0.0</c:v>
                </c:pt>
              </c:numCache>
            </c:numRef>
          </c:yVal>
          <c:smooth val="1"/>
        </c:ser>
        <c:ser>
          <c:idx val="19"/>
          <c:order val="8"/>
          <c:tx>
            <c:strRef>
              <c:f>'NPV Summary'!$AM$53</c:f>
              <c:strCache>
                <c:ptCount val="1"/>
                <c:pt idx="0">
                  <c:v>9. Ground-Source Heat Pump w/ Radiators</c:v>
                </c:pt>
              </c:strCache>
            </c:strRef>
          </c:tx>
          <c:marker>
            <c:symbol val="none"/>
          </c:marker>
          <c:xVal>
            <c:numRef>
              <c:f>'NPV Summary'!$AW$44:$AY$44</c:f>
              <c:numCache>
                <c:formatCode>General</c:formatCode>
                <c:ptCount val="3"/>
                <c:pt idx="0">
                  <c:v>15.0</c:v>
                </c:pt>
                <c:pt idx="1">
                  <c:v>20.0</c:v>
                </c:pt>
                <c:pt idx="2">
                  <c:v>25.0</c:v>
                </c:pt>
              </c:numCache>
            </c:numRef>
          </c:xVal>
          <c:yVal>
            <c:numRef>
              <c:f>'NPV Summary'!$AW$53:$AY$53</c:f>
              <c:numCache>
                <c:formatCode>#,##0_ ;[Red]\-#,##0\ </c:formatCode>
                <c:ptCount val="3"/>
                <c:pt idx="0">
                  <c:v>0.0</c:v>
                </c:pt>
                <c:pt idx="1">
                  <c:v>0.0</c:v>
                </c:pt>
                <c:pt idx="2">
                  <c:v>0.0</c:v>
                </c:pt>
              </c:numCache>
            </c:numRef>
          </c:yVal>
          <c:smooth val="1"/>
        </c:ser>
        <c:ser>
          <c:idx val="21"/>
          <c:order val="9"/>
          <c:tx>
            <c:strRef>
              <c:f>'NPV Summary'!$AM$54</c:f>
              <c:strCache>
                <c:ptCount val="1"/>
                <c:pt idx="0">
                  <c:v>10. Ground-Source Heat Pump w/ Fan Coils</c:v>
                </c:pt>
              </c:strCache>
            </c:strRef>
          </c:tx>
          <c:marker>
            <c:symbol val="none"/>
          </c:marker>
          <c:xVal>
            <c:numRef>
              <c:f>'NPV Summary'!$AW$44:$AY$44</c:f>
              <c:numCache>
                <c:formatCode>General</c:formatCode>
                <c:ptCount val="3"/>
                <c:pt idx="0">
                  <c:v>15.0</c:v>
                </c:pt>
                <c:pt idx="1">
                  <c:v>20.0</c:v>
                </c:pt>
                <c:pt idx="2">
                  <c:v>25.0</c:v>
                </c:pt>
              </c:numCache>
            </c:numRef>
          </c:xVal>
          <c:yVal>
            <c:numRef>
              <c:f>'NPV Summary'!$AW$54:$AY$54</c:f>
              <c:numCache>
                <c:formatCode>#,##0_ ;[Red]\-#,##0\ </c:formatCode>
                <c:ptCount val="3"/>
                <c:pt idx="0">
                  <c:v>0.0</c:v>
                </c:pt>
                <c:pt idx="1">
                  <c:v>0.0</c:v>
                </c:pt>
                <c:pt idx="2">
                  <c:v>0.0</c:v>
                </c:pt>
              </c:numCache>
            </c:numRef>
          </c:yVal>
          <c:smooth val="1"/>
        </c:ser>
        <c:ser>
          <c:idx val="23"/>
          <c:order val="10"/>
          <c:tx>
            <c:strRef>
              <c:f>'NPV Summary'!$AM$55</c:f>
              <c:strCache>
                <c:ptCount val="1"/>
                <c:pt idx="0">
                  <c:v>11. Packaged Ducted A/C Units</c:v>
                </c:pt>
              </c:strCache>
            </c:strRef>
          </c:tx>
          <c:marker>
            <c:symbol val="none"/>
          </c:marker>
          <c:xVal>
            <c:numRef>
              <c:f>'NPV Summary'!$AW$44:$AY$44</c:f>
              <c:numCache>
                <c:formatCode>General</c:formatCode>
                <c:ptCount val="3"/>
                <c:pt idx="0">
                  <c:v>15.0</c:v>
                </c:pt>
                <c:pt idx="1">
                  <c:v>20.0</c:v>
                </c:pt>
                <c:pt idx="2">
                  <c:v>25.0</c:v>
                </c:pt>
              </c:numCache>
            </c:numRef>
          </c:xVal>
          <c:yVal>
            <c:numRef>
              <c:f>'NPV Summary'!$AW$55:$AY$55</c:f>
              <c:numCache>
                <c:formatCode>#,##0_ ;[Red]\-#,##0\ </c:formatCode>
                <c:ptCount val="3"/>
                <c:pt idx="0">
                  <c:v>0.0</c:v>
                </c:pt>
                <c:pt idx="1">
                  <c:v>0.0</c:v>
                </c:pt>
                <c:pt idx="2">
                  <c:v>0.0</c:v>
                </c:pt>
              </c:numCache>
            </c:numRef>
          </c:yVal>
          <c:smooth val="1"/>
        </c:ser>
        <c:ser>
          <c:idx val="25"/>
          <c:order val="11"/>
          <c:tx>
            <c:strRef>
              <c:f>'NPV Summary'!$AM$56</c:f>
              <c:strCache>
                <c:ptCount val="1"/>
                <c:pt idx="0">
                  <c:v>12. VRF Multi Split System</c:v>
                </c:pt>
              </c:strCache>
            </c:strRef>
          </c:tx>
          <c:marker>
            <c:symbol val="none"/>
          </c:marker>
          <c:xVal>
            <c:numRef>
              <c:f>'NPV Summary'!$AW$44:$AY$44</c:f>
              <c:numCache>
                <c:formatCode>General</c:formatCode>
                <c:ptCount val="3"/>
                <c:pt idx="0">
                  <c:v>15.0</c:v>
                </c:pt>
                <c:pt idx="1">
                  <c:v>20.0</c:v>
                </c:pt>
                <c:pt idx="2">
                  <c:v>25.0</c:v>
                </c:pt>
              </c:numCache>
            </c:numRef>
          </c:xVal>
          <c:yVal>
            <c:numRef>
              <c:f>'NPV Summary'!$AW$56:$AY$56</c:f>
              <c:numCache>
                <c:formatCode>#,##0_ ;[Red]\-#,##0\ </c:formatCode>
                <c:ptCount val="3"/>
                <c:pt idx="0">
                  <c:v>7.07144870564973</c:v>
                </c:pt>
                <c:pt idx="1">
                  <c:v>8.578114533123551</c:v>
                </c:pt>
                <c:pt idx="2">
                  <c:v>9.792053259445776</c:v>
                </c:pt>
              </c:numCache>
            </c:numRef>
          </c:yVal>
          <c:smooth val="1"/>
        </c:ser>
        <c:ser>
          <c:idx val="27"/>
          <c:order val="12"/>
          <c:tx>
            <c:strRef>
              <c:f>'NPV Summary'!$AM$57</c:f>
              <c:strCache>
                <c:ptCount val="1"/>
                <c:pt idx="0">
                  <c:v>13. Hybrid VRF Multi Split System</c:v>
                </c:pt>
              </c:strCache>
            </c:strRef>
          </c:tx>
          <c:marker>
            <c:symbol val="none"/>
          </c:marker>
          <c:xVal>
            <c:numRef>
              <c:f>'NPV Summary'!$AW$44:$AY$44</c:f>
              <c:numCache>
                <c:formatCode>General</c:formatCode>
                <c:ptCount val="3"/>
                <c:pt idx="0">
                  <c:v>15.0</c:v>
                </c:pt>
                <c:pt idx="1">
                  <c:v>20.0</c:v>
                </c:pt>
                <c:pt idx="2">
                  <c:v>25.0</c:v>
                </c:pt>
              </c:numCache>
            </c:numRef>
          </c:xVal>
          <c:yVal>
            <c:numRef>
              <c:f>'NPV Summary'!$AW$57:$AY$57</c:f>
              <c:numCache>
                <c:formatCode>#,##0_ ;[Red]\-#,##0\ </c:formatCode>
                <c:ptCount val="3"/>
                <c:pt idx="0">
                  <c:v>7.07144870564973</c:v>
                </c:pt>
                <c:pt idx="1">
                  <c:v>8.578114533123551</c:v>
                </c:pt>
                <c:pt idx="2">
                  <c:v>9.792053259445776</c:v>
                </c:pt>
              </c:numCache>
            </c:numRef>
          </c:yVal>
          <c:smooth val="1"/>
        </c:ser>
        <c:ser>
          <c:idx val="0"/>
          <c:order val="13"/>
          <c:tx>
            <c:strRef>
              <c:f>'NPV Summary'!$AM$58</c:f>
              <c:strCache>
                <c:ptCount val="1"/>
                <c:pt idx="0">
                  <c:v>14. Electric Radiant Heaters</c:v>
                </c:pt>
              </c:strCache>
            </c:strRef>
          </c:tx>
          <c:marker>
            <c:symbol val="none"/>
          </c:marker>
          <c:xVal>
            <c:numRef>
              <c:f>'NPV Summary'!$AW$44:$AY$44</c:f>
              <c:numCache>
                <c:formatCode>General</c:formatCode>
                <c:ptCount val="3"/>
                <c:pt idx="0">
                  <c:v>15.0</c:v>
                </c:pt>
                <c:pt idx="1">
                  <c:v>20.0</c:v>
                </c:pt>
                <c:pt idx="2">
                  <c:v>25.0</c:v>
                </c:pt>
              </c:numCache>
            </c:numRef>
          </c:xVal>
          <c:yVal>
            <c:numRef>
              <c:f>'NPV Summary'!$AW$58:$AY$58</c:f>
              <c:numCache>
                <c:formatCode>#,##0_ ;[Red]\-#,##0\ </c:formatCode>
                <c:ptCount val="3"/>
                <c:pt idx="0">
                  <c:v>25.28233004976918</c:v>
                </c:pt>
                <c:pt idx="1">
                  <c:v>30.66906540068365</c:v>
                </c:pt>
                <c:pt idx="2">
                  <c:v>35.00922267490022</c:v>
                </c:pt>
              </c:numCache>
            </c:numRef>
          </c:yVal>
          <c:smooth val="1"/>
        </c:ser>
        <c:dLbls>
          <c:showLegendKey val="0"/>
          <c:showVal val="0"/>
          <c:showCatName val="0"/>
          <c:showSerName val="0"/>
          <c:showPercent val="0"/>
          <c:showBubbleSize val="0"/>
        </c:dLbls>
        <c:axId val="2140145224"/>
        <c:axId val="2141155416"/>
      </c:scatterChart>
      <c:valAx>
        <c:axId val="2140145224"/>
        <c:scaling>
          <c:orientation val="minMax"/>
          <c:min val="14.0"/>
        </c:scaling>
        <c:delete val="0"/>
        <c:axPos val="b"/>
        <c:title>
          <c:tx>
            <c:rich>
              <a:bodyPr/>
              <a:lstStyle/>
              <a:p>
                <a:pPr>
                  <a:defRPr sz="1600" b="1" i="0" u="none" strike="noStrike" baseline="0">
                    <a:solidFill>
                      <a:srgbClr val="000000"/>
                    </a:solidFill>
                    <a:latin typeface="Calibri"/>
                    <a:ea typeface="Calibri"/>
                    <a:cs typeface="Calibri"/>
                  </a:defRPr>
                </a:pPr>
                <a:r>
                  <a:rPr lang="en-US"/>
                  <a:t>Years</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41155416"/>
        <c:crosses val="autoZero"/>
        <c:crossBetween val="midCat"/>
      </c:valAx>
      <c:valAx>
        <c:axId val="2141155416"/>
        <c:scaling>
          <c:orientation val="minMax"/>
        </c:scaling>
        <c:delete val="0"/>
        <c:axPos val="l"/>
        <c:majorGridlines/>
        <c:title>
          <c:tx>
            <c:rich>
              <a:bodyPr/>
              <a:lstStyle/>
              <a:p>
                <a:pPr>
                  <a:defRPr sz="1200" b="0" i="0" u="none" strike="noStrike" baseline="0">
                    <a:solidFill>
                      <a:srgbClr val="000000"/>
                    </a:solidFill>
                    <a:latin typeface="Calibri"/>
                    <a:ea typeface="Calibri"/>
                    <a:cs typeface="Calibri"/>
                  </a:defRPr>
                </a:pPr>
                <a:r>
                  <a:rPr lang="en-US"/>
                  <a:t>Fuel Cost NPV NZ$/m2</a:t>
                </a:r>
              </a:p>
            </c:rich>
          </c:tx>
          <c:overlay val="0"/>
        </c:title>
        <c:numFmt formatCode="#,##0_ ;[Red]\-#,##0\ " sourceLinked="1"/>
        <c:majorTickMark val="out"/>
        <c:minorTickMark val="none"/>
        <c:tickLblPos val="nextTo"/>
        <c:crossAx val="2140145224"/>
        <c:crosses val="autoZero"/>
        <c:crossBetween val="midCat"/>
      </c:valAx>
    </c:plotArea>
    <c:legend>
      <c:legendPos val="r"/>
      <c:layout>
        <c:manualLayout>
          <c:xMode val="edge"/>
          <c:yMode val="edge"/>
          <c:x val="0.656089908974144"/>
          <c:y val="0.107598495626329"/>
          <c:w val="0.321992740269168"/>
          <c:h val="0.805584212527996"/>
        </c:manualLayout>
      </c:layout>
      <c:overlay val="0"/>
    </c:legend>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4" Type="http://schemas.openxmlformats.org/officeDocument/2006/relationships/chart" Target="../charts/chart5.xml"/><Relationship Id="rId1" Type="http://schemas.openxmlformats.org/officeDocument/2006/relationships/chart" Target="../charts/chart2.xml"/><Relationship Id="rId2"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5</xdr:row>
      <xdr:rowOff>12700</xdr:rowOff>
    </xdr:from>
    <xdr:to>
      <xdr:col>2</xdr:col>
      <xdr:colOff>431800</xdr:colOff>
      <xdr:row>7</xdr:row>
      <xdr:rowOff>114300</xdr:rowOff>
    </xdr:to>
    <xdr:pic>
      <xdr:nvPicPr>
        <xdr:cNvPr id="301577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61696" t="24075" r="32011" b="65700"/>
        <a:stretch>
          <a:fillRect/>
        </a:stretch>
      </xdr:blipFill>
      <xdr:spPr bwMode="auto">
        <a:xfrm>
          <a:off x="838200" y="1003300"/>
          <a:ext cx="10541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292100</xdr:colOff>
      <xdr:row>5</xdr:row>
      <xdr:rowOff>50800</xdr:rowOff>
    </xdr:from>
    <xdr:to>
      <xdr:col>17</xdr:col>
      <xdr:colOff>787400</xdr:colOff>
      <xdr:row>7</xdr:row>
      <xdr:rowOff>266700</xdr:rowOff>
    </xdr:to>
    <xdr:pic>
      <xdr:nvPicPr>
        <xdr:cNvPr id="3015774"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09600" y="1041400"/>
          <a:ext cx="1320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45</xdr:row>
      <xdr:rowOff>177800</xdr:rowOff>
    </xdr:from>
    <xdr:to>
      <xdr:col>14</xdr:col>
      <xdr:colOff>152400</xdr:colOff>
      <xdr:row>81</xdr:row>
      <xdr:rowOff>101600</xdr:rowOff>
    </xdr:to>
    <xdr:pic>
      <xdr:nvPicPr>
        <xdr:cNvPr id="3015775" name="Picture 6" descr="Copy Table Image.jp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t="5042" b="5225"/>
        <a:stretch>
          <a:fillRect/>
        </a:stretch>
      </xdr:blipFill>
      <xdr:spPr bwMode="auto">
        <a:xfrm>
          <a:off x="825500" y="14097000"/>
          <a:ext cx="10693400" cy="6781800"/>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800100</xdr:colOff>
      <xdr:row>0</xdr:row>
      <xdr:rowOff>152400</xdr:rowOff>
    </xdr:from>
    <xdr:to>
      <xdr:col>22</xdr:col>
      <xdr:colOff>609600</xdr:colOff>
      <xdr:row>20</xdr:row>
      <xdr:rowOff>0</xdr:rowOff>
    </xdr:to>
    <xdr:graphicFrame macro="">
      <xdr:nvGraphicFramePr>
        <xdr:cNvPr id="168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2</xdr:col>
      <xdr:colOff>50800</xdr:colOff>
      <xdr:row>4</xdr:row>
      <xdr:rowOff>25400</xdr:rowOff>
    </xdr:from>
    <xdr:to>
      <xdr:col>10</xdr:col>
      <xdr:colOff>546100</xdr:colOff>
      <xdr:row>41</xdr:row>
      <xdr:rowOff>63500</xdr:rowOff>
    </xdr:to>
    <xdr:graphicFrame macro="">
      <xdr:nvGraphicFramePr>
        <xdr:cNvPr id="264542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736600</xdr:colOff>
      <xdr:row>4</xdr:row>
      <xdr:rowOff>12700</xdr:rowOff>
    </xdr:from>
    <xdr:to>
      <xdr:col>21</xdr:col>
      <xdr:colOff>368300</xdr:colOff>
      <xdr:row>41</xdr:row>
      <xdr:rowOff>50800</xdr:rowOff>
    </xdr:to>
    <xdr:graphicFrame macro="">
      <xdr:nvGraphicFramePr>
        <xdr:cNvPr id="264543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584200</xdr:colOff>
      <xdr:row>4</xdr:row>
      <xdr:rowOff>25400</xdr:rowOff>
    </xdr:from>
    <xdr:to>
      <xdr:col>32</xdr:col>
      <xdr:colOff>469900</xdr:colOff>
      <xdr:row>41</xdr:row>
      <xdr:rowOff>63500</xdr:rowOff>
    </xdr:to>
    <xdr:graphicFrame macro="">
      <xdr:nvGraphicFramePr>
        <xdr:cNvPr id="264543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32</xdr:col>
      <xdr:colOff>749300</xdr:colOff>
      <xdr:row>4</xdr:row>
      <xdr:rowOff>0</xdr:rowOff>
    </xdr:from>
    <xdr:to>
      <xdr:col>43</xdr:col>
      <xdr:colOff>596900</xdr:colOff>
      <xdr:row>41</xdr:row>
      <xdr:rowOff>25400</xdr:rowOff>
    </xdr:to>
    <xdr:graphicFrame macro="">
      <xdr:nvGraphicFramePr>
        <xdr:cNvPr id="264543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6"/>
  <sheetViews>
    <sheetView workbookViewId="0">
      <selection activeCell="E18" sqref="E18"/>
    </sheetView>
  </sheetViews>
  <sheetFormatPr baseColWidth="10" defaultRowHeight="15" x14ac:dyDescent="0"/>
  <cols>
    <col min="2" max="2" width="8.33203125" style="661" customWidth="1"/>
    <col min="3" max="17" width="10.83203125" style="661"/>
    <col min="18" max="18" width="13.33203125" style="661" customWidth="1"/>
    <col min="19" max="19" width="10.83203125" style="661"/>
  </cols>
  <sheetData>
    <row r="1" spans="2:19">
      <c r="B1" s="807" t="s">
        <v>463</v>
      </c>
      <c r="C1" s="807"/>
      <c r="D1" s="807"/>
      <c r="E1" s="807"/>
      <c r="F1" s="807"/>
      <c r="G1" s="807"/>
      <c r="H1" s="807"/>
      <c r="I1" s="807"/>
      <c r="J1" s="807"/>
      <c r="K1" s="807"/>
      <c r="L1" s="807"/>
      <c r="M1" s="807"/>
      <c r="N1" s="807"/>
      <c r="O1" s="807"/>
      <c r="P1" s="807"/>
      <c r="Q1" s="807"/>
      <c r="R1" s="807"/>
    </row>
    <row r="2" spans="2:19">
      <c r="B2" s="807"/>
      <c r="C2" s="807"/>
      <c r="D2" s="807"/>
      <c r="E2" s="807"/>
      <c r="F2" s="807"/>
      <c r="G2" s="807"/>
      <c r="H2" s="807"/>
      <c r="I2" s="807"/>
      <c r="J2" s="807"/>
      <c r="K2" s="807"/>
      <c r="L2" s="807"/>
      <c r="M2" s="807"/>
      <c r="N2" s="807"/>
      <c r="O2" s="807"/>
      <c r="P2" s="807"/>
      <c r="Q2" s="807"/>
      <c r="R2" s="807"/>
    </row>
    <row r="3" spans="2:19">
      <c r="B3" s="807"/>
      <c r="C3" s="807"/>
      <c r="D3" s="807"/>
      <c r="E3" s="807"/>
      <c r="F3" s="807"/>
      <c r="G3" s="807"/>
      <c r="H3" s="807"/>
      <c r="I3" s="807"/>
      <c r="J3" s="807"/>
      <c r="K3" s="807"/>
      <c r="L3" s="807"/>
      <c r="M3" s="807"/>
      <c r="N3" s="807"/>
      <c r="O3" s="807"/>
      <c r="P3" s="807"/>
      <c r="Q3" s="807"/>
      <c r="R3" s="807"/>
    </row>
    <row r="4" spans="2:19">
      <c r="B4" s="807"/>
      <c r="C4" s="807"/>
      <c r="D4" s="807"/>
      <c r="E4" s="807"/>
      <c r="F4" s="807"/>
      <c r="G4" s="807"/>
      <c r="H4" s="807"/>
      <c r="I4" s="807"/>
      <c r="J4" s="807"/>
      <c r="K4" s="807"/>
      <c r="L4" s="807"/>
      <c r="M4" s="807"/>
      <c r="N4" s="807"/>
      <c r="O4" s="807"/>
      <c r="P4" s="807"/>
      <c r="Q4" s="807"/>
      <c r="R4" s="807"/>
    </row>
    <row r="5" spans="2:19" s="27" customFormat="1" ht="18" thickBot="1">
      <c r="B5" s="721"/>
      <c r="C5" s="721"/>
      <c r="D5" s="721"/>
      <c r="E5" s="721"/>
      <c r="F5" s="721"/>
      <c r="G5" s="721"/>
      <c r="H5" s="721"/>
      <c r="I5" s="721"/>
      <c r="J5" s="721"/>
      <c r="K5" s="721"/>
      <c r="L5" s="721"/>
      <c r="M5" s="721"/>
      <c r="N5" s="721"/>
      <c r="O5" s="721"/>
      <c r="P5" s="721"/>
      <c r="Q5" s="721"/>
      <c r="R5" s="721"/>
      <c r="S5" s="722"/>
    </row>
    <row r="6" spans="2:19" s="27" customFormat="1" ht="23" customHeight="1">
      <c r="B6" s="809" t="s">
        <v>492</v>
      </c>
      <c r="C6" s="810"/>
      <c r="D6" s="810"/>
      <c r="E6" s="810"/>
      <c r="F6" s="810"/>
      <c r="G6" s="810"/>
      <c r="H6" s="810"/>
      <c r="I6" s="810"/>
      <c r="J6" s="810"/>
      <c r="K6" s="810"/>
      <c r="L6" s="810"/>
      <c r="M6" s="810"/>
      <c r="N6" s="810"/>
      <c r="O6" s="810"/>
      <c r="P6" s="810"/>
      <c r="Q6" s="810"/>
      <c r="R6" s="811"/>
      <c r="S6" s="722"/>
    </row>
    <row r="7" spans="2:19" s="27" customFormat="1" ht="23" customHeight="1">
      <c r="B7" s="812"/>
      <c r="C7" s="813"/>
      <c r="D7" s="813"/>
      <c r="E7" s="813"/>
      <c r="F7" s="813"/>
      <c r="G7" s="813"/>
      <c r="H7" s="813"/>
      <c r="I7" s="813"/>
      <c r="J7" s="813"/>
      <c r="K7" s="813"/>
      <c r="L7" s="813"/>
      <c r="M7" s="813"/>
      <c r="N7" s="813"/>
      <c r="O7" s="813"/>
      <c r="P7" s="813"/>
      <c r="Q7" s="813"/>
      <c r="R7" s="814"/>
      <c r="S7" s="722"/>
    </row>
    <row r="8" spans="2:19" s="27" customFormat="1" ht="23" customHeight="1">
      <c r="B8" s="812"/>
      <c r="C8" s="813"/>
      <c r="D8" s="813"/>
      <c r="E8" s="813"/>
      <c r="F8" s="813"/>
      <c r="G8" s="813"/>
      <c r="H8" s="813"/>
      <c r="I8" s="813"/>
      <c r="J8" s="813"/>
      <c r="K8" s="813"/>
      <c r="L8" s="813"/>
      <c r="M8" s="813"/>
      <c r="N8" s="813"/>
      <c r="O8" s="813"/>
      <c r="P8" s="813"/>
      <c r="Q8" s="813"/>
      <c r="R8" s="814"/>
      <c r="S8" s="722"/>
    </row>
    <row r="9" spans="2:19" s="27" customFormat="1" ht="23" customHeight="1" thickBot="1">
      <c r="B9" s="815"/>
      <c r="C9" s="816"/>
      <c r="D9" s="816"/>
      <c r="E9" s="816"/>
      <c r="F9" s="816"/>
      <c r="G9" s="816"/>
      <c r="H9" s="816"/>
      <c r="I9" s="816"/>
      <c r="J9" s="816"/>
      <c r="K9" s="816"/>
      <c r="L9" s="816"/>
      <c r="M9" s="816"/>
      <c r="N9" s="816"/>
      <c r="O9" s="816"/>
      <c r="P9" s="816"/>
      <c r="Q9" s="816"/>
      <c r="R9" s="817"/>
      <c r="S9" s="722"/>
    </row>
    <row r="10" spans="2:19" s="27" customFormat="1" ht="17">
      <c r="B10" s="721"/>
      <c r="C10" s="721"/>
      <c r="D10" s="721"/>
      <c r="E10" s="721"/>
      <c r="F10" s="721"/>
      <c r="G10" s="721"/>
      <c r="H10" s="721"/>
      <c r="I10" s="721"/>
      <c r="J10" s="721"/>
      <c r="K10" s="721"/>
      <c r="L10" s="721"/>
      <c r="M10" s="721"/>
      <c r="N10" s="721"/>
      <c r="O10" s="721"/>
      <c r="P10" s="721"/>
      <c r="Q10" s="721"/>
      <c r="R10" s="721"/>
      <c r="S10" s="722"/>
    </row>
    <row r="11" spans="2:19" s="27" customFormat="1">
      <c r="B11" s="805" t="s">
        <v>464</v>
      </c>
      <c r="C11" s="806"/>
      <c r="D11" s="806"/>
      <c r="E11" s="806"/>
      <c r="F11" s="806"/>
      <c r="G11" s="806"/>
      <c r="H11" s="806"/>
      <c r="I11" s="806"/>
      <c r="J11" s="802"/>
      <c r="K11" s="802"/>
      <c r="L11" s="802"/>
      <c r="M11" s="802"/>
      <c r="N11" s="802"/>
      <c r="O11" s="802"/>
      <c r="P11" s="802"/>
      <c r="Q11" s="802"/>
      <c r="R11" s="802"/>
      <c r="S11" s="722"/>
    </row>
    <row r="12" spans="2:19" s="27" customFormat="1">
      <c r="B12" s="726"/>
      <c r="C12" s="726"/>
      <c r="D12" s="726"/>
      <c r="E12" s="726"/>
      <c r="F12" s="726"/>
      <c r="G12" s="726"/>
      <c r="H12" s="726"/>
      <c r="I12" s="726"/>
      <c r="J12" s="727"/>
      <c r="K12" s="727"/>
      <c r="L12" s="727"/>
      <c r="M12" s="727"/>
      <c r="N12" s="727"/>
      <c r="O12" s="727"/>
      <c r="P12" s="727"/>
      <c r="Q12" s="727"/>
      <c r="R12" s="727"/>
      <c r="S12" s="722"/>
    </row>
    <row r="13" spans="2:19" s="27" customFormat="1">
      <c r="B13" s="808" t="s">
        <v>493</v>
      </c>
      <c r="C13" s="801"/>
      <c r="D13" s="801"/>
      <c r="E13" s="801"/>
      <c r="F13" s="801"/>
      <c r="G13" s="801"/>
      <c r="H13" s="801"/>
      <c r="I13" s="801"/>
      <c r="J13" s="801"/>
      <c r="K13" s="801"/>
      <c r="L13" s="801"/>
      <c r="M13" s="801"/>
      <c r="N13" s="801"/>
      <c r="O13" s="801"/>
      <c r="P13" s="801"/>
      <c r="Q13" s="801"/>
      <c r="R13" s="801"/>
      <c r="S13" s="722"/>
    </row>
    <row r="14" spans="2:19" s="27" customFormat="1">
      <c r="B14" s="801"/>
      <c r="C14" s="801"/>
      <c r="D14" s="801"/>
      <c r="E14" s="801"/>
      <c r="F14" s="801"/>
      <c r="G14" s="801"/>
      <c r="H14" s="801"/>
      <c r="I14" s="801"/>
      <c r="J14" s="801"/>
      <c r="K14" s="801"/>
      <c r="L14" s="801"/>
      <c r="M14" s="801"/>
      <c r="N14" s="801"/>
      <c r="O14" s="801"/>
      <c r="P14" s="801"/>
      <c r="Q14" s="801"/>
      <c r="R14" s="801"/>
      <c r="S14" s="722"/>
    </row>
    <row r="15" spans="2:19" s="27" customFormat="1">
      <c r="B15" s="724"/>
      <c r="C15" s="724"/>
      <c r="D15" s="724"/>
      <c r="E15" s="724"/>
      <c r="F15" s="724"/>
      <c r="G15" s="724"/>
      <c r="H15" s="724"/>
      <c r="I15" s="724"/>
      <c r="J15" s="727"/>
      <c r="K15" s="727"/>
      <c r="L15" s="727"/>
      <c r="M15" s="727"/>
      <c r="N15" s="727"/>
      <c r="O15" s="727"/>
      <c r="P15" s="727"/>
      <c r="Q15" s="727"/>
      <c r="R15" s="727"/>
      <c r="S15" s="722"/>
    </row>
    <row r="16" spans="2:19" s="27" customFormat="1">
      <c r="B16" s="803" t="s">
        <v>465</v>
      </c>
      <c r="C16" s="801"/>
      <c r="D16" s="801"/>
      <c r="E16" s="801"/>
      <c r="F16" s="801"/>
      <c r="G16" s="801"/>
      <c r="H16" s="801"/>
      <c r="I16" s="801"/>
      <c r="J16" s="801"/>
      <c r="K16" s="801"/>
      <c r="L16" s="801"/>
      <c r="M16" s="801"/>
      <c r="N16" s="801"/>
      <c r="O16" s="801"/>
      <c r="P16" s="801"/>
      <c r="Q16" s="801"/>
      <c r="R16" s="801"/>
      <c r="S16" s="722"/>
    </row>
    <row r="17" spans="2:19" s="27" customFormat="1">
      <c r="B17" s="723"/>
      <c r="C17" s="723"/>
      <c r="D17" s="723"/>
      <c r="E17" s="723"/>
      <c r="F17" s="723"/>
      <c r="G17" s="723"/>
      <c r="H17" s="723"/>
      <c r="I17" s="723"/>
      <c r="J17" s="727"/>
      <c r="K17" s="727"/>
      <c r="L17" s="727"/>
      <c r="M17" s="727"/>
      <c r="N17" s="727"/>
      <c r="O17" s="727"/>
      <c r="P17" s="727"/>
      <c r="Q17" s="727"/>
      <c r="R17" s="727"/>
      <c r="S17" s="722"/>
    </row>
    <row r="18" spans="2:19" s="27" customFormat="1">
      <c r="B18" s="726"/>
      <c r="C18" s="726"/>
      <c r="D18" s="726"/>
      <c r="E18" s="726"/>
      <c r="F18" s="726"/>
      <c r="G18" s="726"/>
      <c r="H18" s="726"/>
      <c r="I18" s="726"/>
      <c r="J18" s="727"/>
      <c r="K18" s="727"/>
      <c r="L18" s="727"/>
      <c r="M18" s="727"/>
      <c r="N18" s="727"/>
      <c r="O18" s="727"/>
      <c r="P18" s="727"/>
      <c r="Q18" s="727"/>
      <c r="R18" s="727"/>
      <c r="S18" s="722"/>
    </row>
    <row r="19" spans="2:19" s="27" customFormat="1">
      <c r="B19" s="805" t="s">
        <v>472</v>
      </c>
      <c r="C19" s="806"/>
      <c r="D19" s="806"/>
      <c r="E19" s="806"/>
      <c r="F19" s="806"/>
      <c r="G19" s="806"/>
      <c r="H19" s="806"/>
      <c r="I19" s="806"/>
      <c r="J19" s="802"/>
      <c r="K19" s="802"/>
      <c r="L19" s="802"/>
      <c r="M19" s="802"/>
      <c r="N19" s="802"/>
      <c r="O19" s="802"/>
      <c r="P19" s="802"/>
      <c r="Q19" s="802"/>
      <c r="R19" s="802"/>
      <c r="S19" s="722"/>
    </row>
    <row r="20" spans="2:19" s="27" customFormat="1">
      <c r="B20" s="726"/>
      <c r="C20" s="726"/>
      <c r="D20" s="726"/>
      <c r="E20" s="726"/>
      <c r="F20" s="726"/>
      <c r="G20" s="726"/>
      <c r="H20" s="726"/>
      <c r="I20" s="726"/>
      <c r="J20" s="727"/>
      <c r="K20" s="727"/>
      <c r="L20" s="727"/>
      <c r="M20" s="727"/>
      <c r="N20" s="727"/>
      <c r="O20" s="727"/>
      <c r="P20" s="727"/>
      <c r="Q20" s="727"/>
      <c r="R20" s="727"/>
      <c r="S20" s="722"/>
    </row>
    <row r="21" spans="2:19" s="27" customFormat="1" ht="21" customHeight="1">
      <c r="B21" s="725">
        <v>1</v>
      </c>
      <c r="C21" s="804" t="s">
        <v>466</v>
      </c>
      <c r="D21" s="802"/>
      <c r="E21" s="802"/>
      <c r="F21" s="802"/>
      <c r="G21" s="802"/>
      <c r="H21" s="802"/>
      <c r="I21" s="802"/>
      <c r="J21" s="802"/>
      <c r="K21" s="802"/>
      <c r="L21" s="802"/>
      <c r="M21" s="802"/>
      <c r="N21" s="802"/>
      <c r="O21" s="802"/>
      <c r="P21" s="802"/>
      <c r="Q21" s="802"/>
      <c r="R21" s="802"/>
      <c r="S21" s="722"/>
    </row>
    <row r="22" spans="2:19" s="27" customFormat="1" ht="41" customHeight="1">
      <c r="B22" s="725">
        <v>2</v>
      </c>
      <c r="C22" s="804" t="s">
        <v>482</v>
      </c>
      <c r="D22" s="802"/>
      <c r="E22" s="802"/>
      <c r="F22" s="802"/>
      <c r="G22" s="802"/>
      <c r="H22" s="802"/>
      <c r="I22" s="802"/>
      <c r="J22" s="802"/>
      <c r="K22" s="802"/>
      <c r="L22" s="802"/>
      <c r="M22" s="802"/>
      <c r="N22" s="802"/>
      <c r="O22" s="802"/>
      <c r="P22" s="802"/>
      <c r="Q22" s="802"/>
      <c r="R22" s="802"/>
      <c r="S22" s="722"/>
    </row>
    <row r="23" spans="2:19" s="27" customFormat="1" ht="21" customHeight="1">
      <c r="B23" s="725">
        <v>3</v>
      </c>
      <c r="C23" s="804" t="s">
        <v>481</v>
      </c>
      <c r="D23" s="802"/>
      <c r="E23" s="802"/>
      <c r="F23" s="802"/>
      <c r="G23" s="802"/>
      <c r="H23" s="802"/>
      <c r="I23" s="802"/>
      <c r="J23" s="802"/>
      <c r="K23" s="802"/>
      <c r="L23" s="802"/>
      <c r="M23" s="802"/>
      <c r="N23" s="802"/>
      <c r="O23" s="802"/>
      <c r="P23" s="802"/>
      <c r="Q23" s="802"/>
      <c r="R23" s="802"/>
      <c r="S23" s="722"/>
    </row>
    <row r="24" spans="2:19" s="27" customFormat="1" ht="67" customHeight="1">
      <c r="B24" s="725">
        <v>4</v>
      </c>
      <c r="C24" s="804" t="s">
        <v>491</v>
      </c>
      <c r="D24" s="802"/>
      <c r="E24" s="802"/>
      <c r="F24" s="802"/>
      <c r="G24" s="802"/>
      <c r="H24" s="802"/>
      <c r="I24" s="802"/>
      <c r="J24" s="802"/>
      <c r="K24" s="802"/>
      <c r="L24" s="802"/>
      <c r="M24" s="802"/>
      <c r="N24" s="802"/>
      <c r="O24" s="802"/>
      <c r="P24" s="802"/>
      <c r="Q24" s="802"/>
      <c r="R24" s="802"/>
      <c r="S24" s="722"/>
    </row>
    <row r="25" spans="2:19" ht="50" customHeight="1">
      <c r="B25" s="725">
        <v>5</v>
      </c>
      <c r="C25" s="804" t="s">
        <v>479</v>
      </c>
      <c r="D25" s="802"/>
      <c r="E25" s="802"/>
      <c r="F25" s="802"/>
      <c r="G25" s="802"/>
      <c r="H25" s="802"/>
      <c r="I25" s="802"/>
      <c r="J25" s="802"/>
      <c r="K25" s="802"/>
      <c r="L25" s="802"/>
      <c r="M25" s="802"/>
      <c r="N25" s="802"/>
      <c r="O25" s="802"/>
      <c r="P25" s="802"/>
      <c r="Q25" s="802"/>
      <c r="R25" s="802"/>
    </row>
    <row r="26" spans="2:19" ht="41" customHeight="1">
      <c r="B26" s="725">
        <v>6</v>
      </c>
      <c r="C26" s="801" t="s">
        <v>467</v>
      </c>
      <c r="D26" s="802"/>
      <c r="E26" s="802"/>
      <c r="F26" s="802"/>
      <c r="G26" s="802"/>
      <c r="H26" s="802"/>
      <c r="I26" s="802"/>
      <c r="J26" s="802"/>
      <c r="K26" s="802"/>
      <c r="L26" s="802"/>
      <c r="M26" s="802"/>
      <c r="N26" s="802"/>
      <c r="O26" s="802"/>
      <c r="P26" s="802"/>
      <c r="Q26" s="802"/>
      <c r="R26" s="802"/>
    </row>
    <row r="27" spans="2:19" ht="41" customHeight="1">
      <c r="B27" s="725">
        <v>7</v>
      </c>
      <c r="C27" s="801" t="s">
        <v>483</v>
      </c>
      <c r="D27" s="802"/>
      <c r="E27" s="802"/>
      <c r="F27" s="802"/>
      <c r="G27" s="802"/>
      <c r="H27" s="802"/>
      <c r="I27" s="802"/>
      <c r="J27" s="802"/>
      <c r="K27" s="802"/>
      <c r="L27" s="802"/>
      <c r="M27" s="802"/>
      <c r="N27" s="802"/>
      <c r="O27" s="802"/>
      <c r="P27" s="802"/>
      <c r="Q27" s="802"/>
      <c r="R27" s="802"/>
    </row>
    <row r="28" spans="2:19" ht="21" customHeight="1">
      <c r="B28" s="725">
        <v>8</v>
      </c>
      <c r="C28" s="801" t="s">
        <v>480</v>
      </c>
      <c r="D28" s="802"/>
      <c r="E28" s="802"/>
      <c r="F28" s="802"/>
      <c r="G28" s="802"/>
      <c r="H28" s="802"/>
      <c r="I28" s="802"/>
      <c r="J28" s="802"/>
      <c r="K28" s="802"/>
      <c r="L28" s="802"/>
      <c r="M28" s="802"/>
      <c r="N28" s="802"/>
      <c r="O28" s="802"/>
      <c r="P28" s="802"/>
      <c r="Q28" s="802"/>
      <c r="R28" s="802"/>
    </row>
    <row r="29" spans="2:19" ht="67" customHeight="1">
      <c r="B29" s="725">
        <v>9</v>
      </c>
      <c r="C29" s="801" t="s">
        <v>490</v>
      </c>
      <c r="D29" s="802"/>
      <c r="E29" s="802"/>
      <c r="F29" s="802"/>
      <c r="G29" s="802"/>
      <c r="H29" s="802"/>
      <c r="I29" s="802"/>
      <c r="J29" s="802"/>
      <c r="K29" s="802"/>
      <c r="L29" s="802"/>
      <c r="M29" s="802"/>
      <c r="N29" s="802"/>
      <c r="O29" s="802"/>
      <c r="P29" s="802"/>
      <c r="Q29" s="802"/>
      <c r="R29" s="802"/>
    </row>
    <row r="30" spans="2:19" ht="50" customHeight="1">
      <c r="B30" s="725">
        <v>10</v>
      </c>
      <c r="C30" s="801" t="s">
        <v>469</v>
      </c>
      <c r="D30" s="802"/>
      <c r="E30" s="802"/>
      <c r="F30" s="802"/>
      <c r="G30" s="802"/>
      <c r="H30" s="802"/>
      <c r="I30" s="802"/>
      <c r="J30" s="802"/>
      <c r="K30" s="802"/>
      <c r="L30" s="802"/>
      <c r="M30" s="802"/>
      <c r="N30" s="802"/>
      <c r="O30" s="802"/>
      <c r="P30" s="802"/>
      <c r="Q30" s="802"/>
      <c r="R30" s="802"/>
    </row>
    <row r="31" spans="2:19" ht="41" customHeight="1">
      <c r="B31" s="725">
        <v>11</v>
      </c>
      <c r="C31" s="801" t="s">
        <v>470</v>
      </c>
      <c r="D31" s="802"/>
      <c r="E31" s="802"/>
      <c r="F31" s="802"/>
      <c r="G31" s="802"/>
      <c r="H31" s="802"/>
      <c r="I31" s="802"/>
      <c r="J31" s="802"/>
      <c r="K31" s="802"/>
      <c r="L31" s="802"/>
      <c r="M31" s="802"/>
      <c r="N31" s="802"/>
      <c r="O31" s="802"/>
      <c r="P31" s="802"/>
      <c r="Q31" s="802"/>
      <c r="R31" s="802"/>
    </row>
    <row r="32" spans="2:19" ht="41" customHeight="1">
      <c r="B32" s="725">
        <v>12</v>
      </c>
      <c r="C32" s="801" t="s">
        <v>471</v>
      </c>
      <c r="D32" s="802"/>
      <c r="E32" s="802"/>
      <c r="F32" s="802"/>
      <c r="G32" s="802"/>
      <c r="H32" s="802"/>
      <c r="I32" s="802"/>
      <c r="J32" s="802"/>
      <c r="K32" s="802"/>
      <c r="L32" s="802"/>
      <c r="M32" s="802"/>
      <c r="N32" s="802"/>
      <c r="O32" s="802"/>
      <c r="P32" s="802"/>
      <c r="Q32" s="802"/>
      <c r="R32" s="802"/>
    </row>
    <row r="33" spans="2:19">
      <c r="B33" s="727"/>
    </row>
    <row r="34" spans="2:19">
      <c r="B34" s="805" t="s">
        <v>473</v>
      </c>
      <c r="C34" s="806"/>
      <c r="D34" s="806"/>
      <c r="E34" s="806"/>
      <c r="F34" s="806"/>
      <c r="G34" s="806"/>
      <c r="H34" s="806"/>
      <c r="I34" s="806"/>
      <c r="J34" s="802"/>
      <c r="K34" s="802"/>
      <c r="L34" s="802"/>
      <c r="M34" s="802"/>
      <c r="N34" s="802"/>
      <c r="O34" s="802"/>
      <c r="P34" s="802"/>
      <c r="Q34" s="802"/>
      <c r="R34" s="802"/>
    </row>
    <row r="35" spans="2:19" ht="17">
      <c r="B35" s="721"/>
    </row>
    <row r="36" spans="2:19" s="4" customFormat="1" ht="21" customHeight="1">
      <c r="B36" s="721">
        <v>1</v>
      </c>
      <c r="C36" s="801" t="s">
        <v>474</v>
      </c>
      <c r="D36" s="802"/>
      <c r="E36" s="802"/>
      <c r="F36" s="802"/>
      <c r="G36" s="802"/>
      <c r="H36" s="802"/>
      <c r="I36" s="802"/>
      <c r="J36" s="802"/>
      <c r="K36" s="802"/>
      <c r="L36" s="802"/>
      <c r="M36" s="802"/>
      <c r="N36" s="802"/>
      <c r="O36" s="802"/>
      <c r="P36" s="802"/>
      <c r="Q36" s="802"/>
      <c r="R36" s="802"/>
      <c r="S36" s="670"/>
    </row>
    <row r="37" spans="2:19" s="4" customFormat="1" ht="21" customHeight="1">
      <c r="B37" s="721">
        <v>2</v>
      </c>
      <c r="C37" s="801" t="s">
        <v>487</v>
      </c>
      <c r="D37" s="802"/>
      <c r="E37" s="802"/>
      <c r="F37" s="802"/>
      <c r="G37" s="802"/>
      <c r="H37" s="802"/>
      <c r="I37" s="802"/>
      <c r="J37" s="802"/>
      <c r="K37" s="802"/>
      <c r="L37" s="802"/>
      <c r="M37" s="802"/>
      <c r="N37" s="802"/>
      <c r="O37" s="802"/>
      <c r="P37" s="802"/>
      <c r="Q37" s="802"/>
      <c r="R37" s="802"/>
      <c r="S37" s="670"/>
    </row>
    <row r="38" spans="2:19" s="4" customFormat="1" ht="21" customHeight="1">
      <c r="B38" s="721"/>
      <c r="C38" s="801" t="s">
        <v>489</v>
      </c>
      <c r="D38" s="802"/>
      <c r="E38" s="802"/>
      <c r="F38" s="802"/>
      <c r="G38" s="802"/>
      <c r="H38" s="802"/>
      <c r="I38" s="802"/>
      <c r="J38" s="802"/>
      <c r="K38" s="802"/>
      <c r="L38" s="802"/>
      <c r="M38" s="802"/>
      <c r="N38" s="802"/>
      <c r="O38" s="802"/>
      <c r="P38" s="802"/>
      <c r="Q38" s="802"/>
      <c r="R38" s="802"/>
      <c r="S38" s="670"/>
    </row>
    <row r="39" spans="2:19" s="4" customFormat="1" ht="21" customHeight="1">
      <c r="B39" s="721"/>
      <c r="C39" s="801" t="s">
        <v>484</v>
      </c>
      <c r="D39" s="802"/>
      <c r="E39" s="802"/>
      <c r="F39" s="802"/>
      <c r="G39" s="802"/>
      <c r="H39" s="802"/>
      <c r="I39" s="802"/>
      <c r="J39" s="802"/>
      <c r="K39" s="802"/>
      <c r="L39" s="802"/>
      <c r="M39" s="802"/>
      <c r="N39" s="802"/>
      <c r="O39" s="802"/>
      <c r="P39" s="802"/>
      <c r="Q39" s="802"/>
      <c r="R39" s="802"/>
      <c r="S39" s="670"/>
    </row>
    <row r="40" spans="2:19" s="4" customFormat="1" ht="21" customHeight="1">
      <c r="B40" s="721"/>
      <c r="C40" s="801" t="s">
        <v>486</v>
      </c>
      <c r="D40" s="802"/>
      <c r="E40" s="802"/>
      <c r="F40" s="802"/>
      <c r="G40" s="802"/>
      <c r="H40" s="802"/>
      <c r="I40" s="802"/>
      <c r="J40" s="802"/>
      <c r="K40" s="802"/>
      <c r="L40" s="802"/>
      <c r="M40" s="802"/>
      <c r="N40" s="802"/>
      <c r="O40" s="802"/>
      <c r="P40" s="802"/>
      <c r="Q40" s="802"/>
      <c r="R40" s="802"/>
      <c r="S40" s="670"/>
    </row>
    <row r="41" spans="2:19" s="4" customFormat="1" ht="21" customHeight="1">
      <c r="B41" s="721">
        <v>3</v>
      </c>
      <c r="C41" s="801" t="s">
        <v>485</v>
      </c>
      <c r="D41" s="802"/>
      <c r="E41" s="802"/>
      <c r="F41" s="802"/>
      <c r="G41" s="802"/>
      <c r="H41" s="802"/>
      <c r="I41" s="802"/>
      <c r="J41" s="802"/>
      <c r="K41" s="802"/>
      <c r="L41" s="802"/>
      <c r="M41" s="802"/>
      <c r="N41" s="802"/>
      <c r="O41" s="802"/>
      <c r="P41" s="802"/>
      <c r="Q41" s="802"/>
      <c r="R41" s="802"/>
      <c r="S41" s="670"/>
    </row>
    <row r="42" spans="2:19" s="4" customFormat="1" ht="21" customHeight="1">
      <c r="B42" s="721">
        <v>4</v>
      </c>
      <c r="C42" s="801" t="s">
        <v>475</v>
      </c>
      <c r="D42" s="802"/>
      <c r="E42" s="802"/>
      <c r="F42" s="802"/>
      <c r="G42" s="802"/>
      <c r="H42" s="802"/>
      <c r="I42" s="802"/>
      <c r="J42" s="802"/>
      <c r="K42" s="802"/>
      <c r="L42" s="802"/>
      <c r="M42" s="802"/>
      <c r="N42" s="802"/>
      <c r="O42" s="802"/>
      <c r="P42" s="802"/>
      <c r="Q42" s="802"/>
      <c r="R42" s="802"/>
      <c r="S42" s="670"/>
    </row>
    <row r="43" spans="2:19" s="4" customFormat="1" ht="21" customHeight="1">
      <c r="B43" s="721">
        <v>5</v>
      </c>
      <c r="C43" s="801" t="s">
        <v>476</v>
      </c>
      <c r="D43" s="802"/>
      <c r="E43" s="802"/>
      <c r="F43" s="802"/>
      <c r="G43" s="802"/>
      <c r="H43" s="802"/>
      <c r="I43" s="802"/>
      <c r="J43" s="802"/>
      <c r="K43" s="802"/>
      <c r="L43" s="802"/>
      <c r="M43" s="802"/>
      <c r="N43" s="802"/>
      <c r="O43" s="802"/>
      <c r="P43" s="802"/>
      <c r="Q43" s="802"/>
      <c r="R43" s="802"/>
      <c r="S43" s="670"/>
    </row>
    <row r="44" spans="2:19" ht="21" customHeight="1">
      <c r="B44" s="721">
        <v>6</v>
      </c>
      <c r="C44" s="801" t="s">
        <v>477</v>
      </c>
      <c r="D44" s="802"/>
      <c r="E44" s="802"/>
      <c r="F44" s="802"/>
      <c r="G44" s="802"/>
      <c r="H44" s="802"/>
      <c r="I44" s="802"/>
      <c r="J44" s="802"/>
      <c r="K44" s="802"/>
      <c r="L44" s="802"/>
      <c r="M44" s="802"/>
      <c r="N44" s="802"/>
      <c r="O44" s="802"/>
      <c r="P44" s="802"/>
      <c r="Q44" s="802"/>
      <c r="R44" s="802"/>
    </row>
    <row r="45" spans="2:19" ht="21" customHeight="1">
      <c r="B45" s="721">
        <v>7</v>
      </c>
      <c r="C45" s="801" t="s">
        <v>478</v>
      </c>
      <c r="D45" s="802"/>
      <c r="E45" s="802"/>
      <c r="F45" s="802"/>
      <c r="G45" s="802"/>
      <c r="H45" s="802"/>
      <c r="I45" s="802"/>
      <c r="J45" s="802"/>
      <c r="K45" s="802"/>
      <c r="L45" s="802"/>
      <c r="M45" s="802"/>
      <c r="N45" s="802"/>
      <c r="O45" s="802"/>
      <c r="P45" s="802"/>
      <c r="Q45" s="802"/>
      <c r="R45" s="802"/>
    </row>
    <row r="46" spans="2:19" ht="15" customHeight="1"/>
    <row r="51" ht="15" customHeight="1"/>
    <row r="56" ht="15" customHeight="1"/>
  </sheetData>
  <sheetProtection password="CA29" sheet="1" objects="1" scenarios="1" selectLockedCells="1" selectUnlockedCells="1"/>
  <mergeCells count="29">
    <mergeCell ref="B1:R4"/>
    <mergeCell ref="B13:R14"/>
    <mergeCell ref="C21:R21"/>
    <mergeCell ref="C22:R22"/>
    <mergeCell ref="C23:R23"/>
    <mergeCell ref="B6:R9"/>
    <mergeCell ref="B11:R11"/>
    <mergeCell ref="B19:R19"/>
    <mergeCell ref="C42:R42"/>
    <mergeCell ref="C43:R43"/>
    <mergeCell ref="C44:R44"/>
    <mergeCell ref="C45:R45"/>
    <mergeCell ref="C38:R38"/>
    <mergeCell ref="C39:R39"/>
    <mergeCell ref="C40:R40"/>
    <mergeCell ref="C41:R41"/>
    <mergeCell ref="C37:R37"/>
    <mergeCell ref="B16:R16"/>
    <mergeCell ref="C24:R24"/>
    <mergeCell ref="C30:R30"/>
    <mergeCell ref="C31:R31"/>
    <mergeCell ref="C32:R32"/>
    <mergeCell ref="C36:R36"/>
    <mergeCell ref="B34:R34"/>
    <mergeCell ref="C25:R25"/>
    <mergeCell ref="C26:R26"/>
    <mergeCell ref="C27:R27"/>
    <mergeCell ref="C28:R28"/>
    <mergeCell ref="C29:R29"/>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3"/>
  <sheetViews>
    <sheetView topLeftCell="A20" workbookViewId="0">
      <selection activeCell="E31" sqref="E31"/>
    </sheetView>
  </sheetViews>
  <sheetFormatPr baseColWidth="10" defaultRowHeight="15" x14ac:dyDescent="0"/>
  <cols>
    <col min="1" max="1" width="11.83203125" style="661" customWidth="1"/>
    <col min="2" max="2" width="13.1640625" style="661" customWidth="1"/>
    <col min="3" max="4" width="18.83203125" style="661" customWidth="1"/>
    <col min="5" max="13" width="12.33203125" style="661" customWidth="1"/>
    <col min="14" max="15" width="11.83203125" style="661" customWidth="1"/>
    <col min="16" max="23" width="10.83203125" style="661"/>
  </cols>
  <sheetData>
    <row r="1" spans="1:34" ht="17" customHeight="1" thickBot="1">
      <c r="A1" s="675" t="s">
        <v>276</v>
      </c>
      <c r="B1" s="676"/>
      <c r="C1" s="818" t="s">
        <v>488</v>
      </c>
      <c r="D1" s="819"/>
      <c r="E1" s="672"/>
      <c r="F1" s="660"/>
      <c r="G1" s="660"/>
      <c r="H1" s="660"/>
      <c r="I1" s="660"/>
      <c r="J1" s="660"/>
      <c r="K1" s="660"/>
      <c r="L1" s="660"/>
      <c r="M1" s="660"/>
      <c r="N1" s="660"/>
      <c r="O1" s="660"/>
      <c r="P1" s="660"/>
      <c r="Q1" s="660"/>
      <c r="R1" s="660"/>
      <c r="S1" s="660"/>
      <c r="T1" s="660"/>
      <c r="U1" s="660"/>
    </row>
    <row r="2" spans="1:34" ht="17" customHeight="1">
      <c r="A2" s="677" t="s">
        <v>381</v>
      </c>
      <c r="B2" s="678"/>
      <c r="C2" s="820" t="s">
        <v>388</v>
      </c>
      <c r="D2" s="821"/>
      <c r="E2" s="826" t="s">
        <v>455</v>
      </c>
      <c r="F2" s="827"/>
      <c r="G2" s="827"/>
      <c r="H2" s="827"/>
      <c r="I2" s="827"/>
      <c r="J2" s="827"/>
      <c r="K2" s="827"/>
      <c r="L2" s="827"/>
      <c r="M2" s="828"/>
      <c r="N2" s="648"/>
      <c r="O2" s="664"/>
      <c r="P2" s="660"/>
      <c r="Q2" s="660"/>
      <c r="R2" s="660"/>
      <c r="S2" s="660"/>
      <c r="T2" s="660"/>
    </row>
    <row r="3" spans="1:34" ht="17" customHeight="1">
      <c r="A3" s="679" t="s">
        <v>278</v>
      </c>
      <c r="B3" s="678"/>
      <c r="C3" s="820" t="s">
        <v>65</v>
      </c>
      <c r="D3" s="821"/>
      <c r="E3" s="829"/>
      <c r="F3" s="830"/>
      <c r="G3" s="830"/>
      <c r="H3" s="830"/>
      <c r="I3" s="830"/>
      <c r="J3" s="830"/>
      <c r="K3" s="830"/>
      <c r="L3" s="830"/>
      <c r="M3" s="831"/>
      <c r="N3" s="648"/>
      <c r="O3" s="664"/>
      <c r="P3" s="660"/>
      <c r="Q3" s="660"/>
      <c r="R3" s="660"/>
      <c r="S3" s="660"/>
      <c r="T3" s="660"/>
    </row>
    <row r="4" spans="1:34" ht="17" customHeight="1" thickBot="1">
      <c r="A4" s="679" t="s">
        <v>417</v>
      </c>
      <c r="B4" s="678"/>
      <c r="C4" s="820">
        <v>1000</v>
      </c>
      <c r="D4" s="821"/>
      <c r="E4" s="832"/>
      <c r="F4" s="833"/>
      <c r="G4" s="833"/>
      <c r="H4" s="833"/>
      <c r="I4" s="833"/>
      <c r="J4" s="833"/>
      <c r="K4" s="833"/>
      <c r="L4" s="833"/>
      <c r="M4" s="834"/>
    </row>
    <row r="5" spans="1:34" ht="17" customHeight="1">
      <c r="A5" s="680" t="s">
        <v>32</v>
      </c>
      <c r="B5" s="681"/>
      <c r="C5" s="822">
        <v>0.05</v>
      </c>
      <c r="D5" s="823"/>
      <c r="E5" s="662"/>
    </row>
    <row r="6" spans="1:34" ht="17" customHeight="1" thickBot="1">
      <c r="A6" s="682" t="s">
        <v>313</v>
      </c>
      <c r="B6" s="683"/>
      <c r="C6" s="824">
        <v>20</v>
      </c>
      <c r="D6" s="825"/>
    </row>
    <row r="7" spans="1:34" ht="17" customHeight="1" thickBot="1">
      <c r="A7" s="665"/>
      <c r="B7" s="665"/>
      <c r="C7" s="666"/>
      <c r="D7" s="666"/>
    </row>
    <row r="8" spans="1:34" ht="47" customHeight="1" thickBot="1">
      <c r="A8" s="852" t="s">
        <v>407</v>
      </c>
      <c r="B8" s="853"/>
      <c r="C8" s="728" t="s">
        <v>449</v>
      </c>
      <c r="D8" s="847" t="s">
        <v>452</v>
      </c>
      <c r="E8" s="848"/>
      <c r="F8" s="848"/>
      <c r="G8" s="848"/>
      <c r="H8" s="848"/>
      <c r="I8" s="848"/>
      <c r="J8" s="848"/>
      <c r="K8" s="848"/>
      <c r="L8" s="848"/>
      <c r="M8" s="849"/>
      <c r="N8" s="648"/>
      <c r="O8" s="548"/>
      <c r="P8" s="664"/>
      <c r="Q8" s="664"/>
      <c r="R8" s="664"/>
      <c r="S8" s="664"/>
      <c r="T8" s="664"/>
      <c r="U8" s="673"/>
      <c r="V8" s="662"/>
      <c r="W8" s="24"/>
      <c r="X8" s="24"/>
      <c r="Y8" s="24"/>
      <c r="Z8" s="24"/>
      <c r="AA8" s="24"/>
      <c r="AB8" s="24"/>
      <c r="AC8" s="24"/>
      <c r="AD8" s="24"/>
      <c r="AE8" s="24"/>
      <c r="AF8" s="24"/>
      <c r="AG8" s="24"/>
    </row>
    <row r="9" spans="1:34" ht="17" customHeight="1" thickBot="1">
      <c r="A9" s="665"/>
      <c r="B9" s="665"/>
      <c r="C9" s="666"/>
      <c r="D9" s="666"/>
      <c r="E9" s="663"/>
      <c r="F9" s="663"/>
      <c r="G9" s="663"/>
      <c r="H9" s="663"/>
      <c r="I9" s="663"/>
      <c r="J9" s="663"/>
      <c r="K9" s="663"/>
      <c r="L9" s="663"/>
      <c r="M9" s="663"/>
      <c r="N9" s="663"/>
      <c r="O9" s="663"/>
      <c r="P9" s="663"/>
      <c r="Q9" s="663"/>
      <c r="R9" s="663"/>
      <c r="S9" s="663"/>
      <c r="T9" s="663"/>
      <c r="U9" s="674"/>
      <c r="V9" s="662"/>
      <c r="W9" s="662"/>
      <c r="X9" s="24"/>
      <c r="Y9" s="24"/>
      <c r="Z9" s="24"/>
      <c r="AA9" s="24"/>
      <c r="AB9" s="24"/>
      <c r="AC9" s="24"/>
      <c r="AD9" s="24"/>
      <c r="AE9" s="24"/>
      <c r="AF9" s="24"/>
      <c r="AG9" s="24"/>
      <c r="AH9" s="24"/>
    </row>
    <row r="10" spans="1:34" ht="23" customHeight="1">
      <c r="A10" s="851" t="s">
        <v>418</v>
      </c>
      <c r="B10" s="851"/>
      <c r="C10" s="851"/>
      <c r="D10" s="684">
        <f>VLOOKUP($C$3,'Regional Energy Requirements'!$B$3:$C$41,2,0)</f>
        <v>30</v>
      </c>
      <c r="E10" s="835" t="s">
        <v>460</v>
      </c>
      <c r="F10" s="835"/>
      <c r="G10" s="835"/>
      <c r="H10" s="835"/>
      <c r="I10" s="836"/>
      <c r="J10" s="837"/>
      <c r="K10" s="664"/>
      <c r="L10" s="664"/>
      <c r="M10" s="664"/>
      <c r="N10" s="664"/>
      <c r="O10" s="664"/>
      <c r="P10" s="664"/>
      <c r="Q10" s="664"/>
      <c r="R10" s="664"/>
      <c r="S10" s="664"/>
      <c r="T10" s="664"/>
      <c r="U10" s="664"/>
      <c r="W10"/>
    </row>
    <row r="11" spans="1:34" ht="23" customHeight="1" thickBot="1">
      <c r="A11" s="850" t="s">
        <v>419</v>
      </c>
      <c r="B11" s="850"/>
      <c r="C11" s="850"/>
      <c r="D11" s="729">
        <v>12</v>
      </c>
      <c r="E11" s="838"/>
      <c r="F11" s="838"/>
      <c r="G11" s="838"/>
      <c r="H11" s="838"/>
      <c r="I11" s="830"/>
      <c r="J11" s="839"/>
      <c r="K11" s="664"/>
      <c r="L11" s="664"/>
      <c r="M11" s="664"/>
      <c r="N11" s="664"/>
      <c r="O11" s="664"/>
      <c r="P11" s="664"/>
      <c r="Q11" s="664"/>
      <c r="R11" s="664"/>
      <c r="S11" s="664"/>
      <c r="T11" s="664"/>
      <c r="U11" s="664"/>
      <c r="W11"/>
    </row>
    <row r="12" spans="1:34" ht="23" customHeight="1">
      <c r="A12" s="851" t="s">
        <v>420</v>
      </c>
      <c r="B12" s="851"/>
      <c r="C12" s="851"/>
      <c r="D12" s="684" t="str">
        <f>IF(C8="No","N/A",VLOOKUP($C$3,'Regional Energy Requirements'!$B$3:$D$41,3,0))</f>
        <v>N/A</v>
      </c>
      <c r="E12" s="838"/>
      <c r="F12" s="838"/>
      <c r="G12" s="838"/>
      <c r="H12" s="838"/>
      <c r="I12" s="830"/>
      <c r="J12" s="839"/>
      <c r="K12" s="664"/>
      <c r="L12" s="664"/>
      <c r="M12" s="664"/>
      <c r="N12" s="664"/>
      <c r="O12" s="664"/>
      <c r="P12" s="664"/>
      <c r="Q12" s="664"/>
      <c r="R12" s="664"/>
      <c r="S12" s="664"/>
      <c r="T12" s="664"/>
      <c r="U12" s="664"/>
      <c r="W12"/>
    </row>
    <row r="13" spans="1:34" ht="23" customHeight="1" thickBot="1">
      <c r="A13" s="850" t="s">
        <v>421</v>
      </c>
      <c r="B13" s="850"/>
      <c r="C13" s="850"/>
      <c r="D13" s="729" t="str">
        <f>D12</f>
        <v>N/A</v>
      </c>
      <c r="E13" s="840"/>
      <c r="F13" s="840"/>
      <c r="G13" s="840"/>
      <c r="H13" s="840"/>
      <c r="I13" s="841"/>
      <c r="J13" s="842"/>
      <c r="K13" s="664"/>
      <c r="L13" s="664"/>
      <c r="M13" s="664"/>
      <c r="N13" s="664"/>
      <c r="O13" s="664"/>
      <c r="P13" s="664"/>
      <c r="Q13" s="664"/>
      <c r="R13" s="664"/>
      <c r="S13" s="664"/>
      <c r="T13" s="664"/>
      <c r="U13" s="664"/>
      <c r="W13"/>
    </row>
    <row r="14" spans="1:34" ht="17" customHeight="1" thickBot="1">
      <c r="A14" s="665"/>
      <c r="B14" s="665"/>
      <c r="C14" s="666"/>
      <c r="D14" s="664"/>
      <c r="E14" s="664"/>
      <c r="F14" s="664"/>
      <c r="G14" s="664"/>
      <c r="H14" s="664"/>
      <c r="I14" s="664"/>
      <c r="J14" s="664"/>
      <c r="K14" s="664"/>
      <c r="L14" s="664"/>
      <c r="M14" s="664"/>
      <c r="N14" s="664"/>
      <c r="O14" s="664"/>
      <c r="P14" s="664"/>
      <c r="Q14" s="664"/>
      <c r="R14" s="664"/>
      <c r="S14" s="664"/>
      <c r="T14" s="664"/>
      <c r="U14" s="662"/>
      <c r="W14"/>
    </row>
    <row r="15" spans="1:34" ht="23" customHeight="1" thickBot="1">
      <c r="A15" s="851" t="s">
        <v>422</v>
      </c>
      <c r="B15" s="851"/>
      <c r="C15" s="851"/>
      <c r="D15" s="685">
        <f>VLOOKUP($C$3,'Regional Fuel Costs'!$C$3:$F$41,2,0)</f>
        <v>0.18239999999999998</v>
      </c>
      <c r="E15" s="843" t="s">
        <v>461</v>
      </c>
      <c r="F15" s="844"/>
      <c r="G15" s="844"/>
      <c r="H15" s="844"/>
      <c r="I15" s="844"/>
      <c r="J15" s="845"/>
      <c r="K15" s="846"/>
      <c r="L15" s="648"/>
      <c r="M15" s="648"/>
      <c r="N15" s="664"/>
      <c r="O15" s="664"/>
      <c r="P15" s="664"/>
      <c r="Q15" s="664"/>
      <c r="R15" s="664"/>
      <c r="S15" s="664"/>
      <c r="T15" s="664"/>
      <c r="U15" s="664"/>
      <c r="W15"/>
    </row>
    <row r="16" spans="1:34" ht="23" customHeight="1" thickBot="1">
      <c r="A16" s="850" t="s">
        <v>414</v>
      </c>
      <c r="B16" s="850"/>
      <c r="C16" s="850"/>
      <c r="D16" s="730">
        <f>D15</f>
        <v>0.18239999999999998</v>
      </c>
      <c r="E16" s="843"/>
      <c r="F16" s="844"/>
      <c r="G16" s="844"/>
      <c r="H16" s="844"/>
      <c r="I16" s="844"/>
      <c r="J16" s="845"/>
      <c r="K16" s="846"/>
      <c r="L16" s="648"/>
      <c r="M16" s="648"/>
      <c r="N16" s="664"/>
      <c r="O16" s="664"/>
      <c r="P16" s="664"/>
      <c r="Q16" s="664"/>
      <c r="R16" s="664"/>
      <c r="S16" s="664"/>
      <c r="T16" s="664"/>
      <c r="U16" s="664"/>
      <c r="W16"/>
    </row>
    <row r="17" spans="1:29" ht="23" customHeight="1" thickBot="1">
      <c r="A17" s="851" t="s">
        <v>415</v>
      </c>
      <c r="B17" s="851"/>
      <c r="C17" s="851"/>
      <c r="D17" s="684" t="str">
        <f>IF(COUNTIF(E23:E25,"Yes"),(VLOOKUP($C$3,'Regional Fuel Costs'!$C$3:$F$41,3,0)),"N/A")</f>
        <v>N/A</v>
      </c>
      <c r="E17" s="843" t="s">
        <v>462</v>
      </c>
      <c r="F17" s="844"/>
      <c r="G17" s="844"/>
      <c r="H17" s="844"/>
      <c r="I17" s="844"/>
      <c r="J17" s="845"/>
      <c r="K17" s="846"/>
      <c r="L17" s="648"/>
      <c r="M17" s="648"/>
      <c r="N17" s="664"/>
      <c r="O17" s="664"/>
      <c r="P17" s="664"/>
      <c r="Q17" s="664"/>
      <c r="R17" s="664"/>
      <c r="S17" s="664"/>
      <c r="T17" s="664"/>
      <c r="U17" s="664"/>
      <c r="W17"/>
    </row>
    <row r="18" spans="1:29" ht="23" customHeight="1" thickBot="1">
      <c r="A18" s="850" t="s">
        <v>416</v>
      </c>
      <c r="B18" s="850"/>
      <c r="C18" s="850"/>
      <c r="D18" s="729" t="str">
        <f>D17</f>
        <v>N/A</v>
      </c>
      <c r="E18" s="843"/>
      <c r="F18" s="844"/>
      <c r="G18" s="844"/>
      <c r="H18" s="844"/>
      <c r="I18" s="844"/>
      <c r="J18" s="845"/>
      <c r="K18" s="846"/>
      <c r="L18" s="648"/>
      <c r="M18" s="648"/>
      <c r="N18" s="664"/>
      <c r="O18" s="664"/>
      <c r="P18" s="664"/>
      <c r="Q18" s="664"/>
      <c r="R18" s="664"/>
      <c r="S18" s="664"/>
      <c r="T18" s="664"/>
      <c r="U18" s="664"/>
      <c r="W18"/>
    </row>
    <row r="19" spans="1:29" ht="17" customHeight="1">
      <c r="A19" s="665"/>
      <c r="B19" s="665"/>
      <c r="C19" s="666"/>
      <c r="D19" s="666"/>
      <c r="E19" s="664"/>
      <c r="F19" s="664"/>
      <c r="G19" s="664"/>
      <c r="H19" s="664"/>
      <c r="I19" s="664"/>
      <c r="J19" s="664"/>
      <c r="K19" s="664"/>
      <c r="L19" s="664"/>
      <c r="M19" s="664"/>
      <c r="N19" s="664"/>
      <c r="O19" s="664"/>
      <c r="P19" s="664"/>
      <c r="Q19" s="664"/>
      <c r="R19" s="664"/>
      <c r="S19" s="664"/>
      <c r="T19" s="664"/>
      <c r="U19" s="664"/>
      <c r="V19" s="662"/>
    </row>
    <row r="20" spans="1:29" ht="17" customHeight="1">
      <c r="A20" s="665"/>
      <c r="B20" s="665"/>
      <c r="C20" s="666"/>
      <c r="D20" s="666"/>
      <c r="E20" s="663"/>
      <c r="F20" s="663"/>
      <c r="G20" s="663"/>
      <c r="H20" s="663"/>
      <c r="I20" s="663"/>
      <c r="J20" s="663"/>
      <c r="K20" s="663"/>
      <c r="L20" s="663"/>
      <c r="M20" s="663"/>
      <c r="N20" s="663"/>
      <c r="O20" s="663"/>
      <c r="P20" s="663"/>
      <c r="Q20" s="663"/>
      <c r="R20" s="663"/>
      <c r="S20" s="663"/>
      <c r="T20" s="663"/>
      <c r="U20" s="663"/>
    </row>
    <row r="21" spans="1:29" ht="17" customHeight="1" thickBot="1"/>
    <row r="22" spans="1:29" ht="91" customHeight="1" thickBot="1">
      <c r="A22" s="863" t="s">
        <v>39</v>
      </c>
      <c r="B22" s="863"/>
      <c r="C22" s="863"/>
      <c r="D22" s="864"/>
      <c r="E22" s="688" t="s">
        <v>450</v>
      </c>
      <c r="F22" s="688" t="s">
        <v>442</v>
      </c>
      <c r="G22" s="688" t="s">
        <v>434</v>
      </c>
      <c r="H22" s="690" t="s">
        <v>425</v>
      </c>
      <c r="I22" s="691" t="s">
        <v>426</v>
      </c>
      <c r="J22" s="690" t="s">
        <v>427</v>
      </c>
      <c r="K22" s="691" t="s">
        <v>428</v>
      </c>
      <c r="L22" s="690" t="s">
        <v>433</v>
      </c>
      <c r="M22" s="691" t="s">
        <v>430</v>
      </c>
      <c r="N22" s="662"/>
      <c r="O22" s="662"/>
      <c r="P22" s="662"/>
      <c r="Q22" s="662"/>
      <c r="R22" s="662"/>
      <c r="S22" s="662"/>
      <c r="T22" s="662"/>
      <c r="U22" s="662"/>
      <c r="V22" s="662"/>
      <c r="W22" s="662"/>
      <c r="X22" s="24"/>
      <c r="Y22" s="24"/>
      <c r="Z22" s="24"/>
      <c r="AA22" s="24"/>
      <c r="AB22" s="24"/>
      <c r="AC22" s="24"/>
    </row>
    <row r="23" spans="1:29" ht="18" thickBot="1">
      <c r="A23" s="892" t="s">
        <v>249</v>
      </c>
      <c r="B23" s="883" t="s">
        <v>318</v>
      </c>
      <c r="C23" s="884"/>
      <c r="D23" s="885"/>
      <c r="E23" s="731" t="s">
        <v>449</v>
      </c>
      <c r="F23" s="732">
        <v>0</v>
      </c>
      <c r="G23" s="733">
        <v>0</v>
      </c>
      <c r="H23" s="692" t="str">
        <f>IF(E23="No","N/A",'Capital Cost Structure'!D2)</f>
        <v>N/A</v>
      </c>
      <c r="I23" s="743" t="str">
        <f t="shared" ref="I23:I36" si="0">H23</f>
        <v>N/A</v>
      </c>
      <c r="J23" s="696">
        <f>'System Efficiencies'!B2</f>
        <v>0.85</v>
      </c>
      <c r="K23" s="747">
        <f t="shared" ref="K23:K36" si="1">J23</f>
        <v>0.85</v>
      </c>
      <c r="L23" s="696" t="s">
        <v>431</v>
      </c>
      <c r="M23" s="711" t="str">
        <f t="shared" ref="M23:M36" si="2">L23</f>
        <v>N/A</v>
      </c>
      <c r="N23" s="686"/>
      <c r="O23" s="686"/>
      <c r="P23" s="686"/>
      <c r="Q23" s="664"/>
      <c r="R23" s="664"/>
      <c r="S23" s="664"/>
      <c r="T23" s="673"/>
      <c r="U23" s="673"/>
      <c r="V23" s="673"/>
      <c r="W23" s="662"/>
      <c r="X23" s="24"/>
      <c r="Y23" s="24"/>
      <c r="Z23" s="24"/>
      <c r="AA23" s="24"/>
      <c r="AB23" s="24"/>
      <c r="AC23" s="24"/>
    </row>
    <row r="24" spans="1:29" ht="19" thickTop="1" thickBot="1">
      <c r="A24" s="893"/>
      <c r="B24" s="886" t="s">
        <v>319</v>
      </c>
      <c r="C24" s="887"/>
      <c r="D24" s="862"/>
      <c r="E24" s="734" t="s">
        <v>449</v>
      </c>
      <c r="F24" s="735">
        <v>0</v>
      </c>
      <c r="G24" s="736">
        <v>0</v>
      </c>
      <c r="H24" s="693" t="str">
        <f>IF(E24="No","N/A",'Capital Cost Structure'!D10)</f>
        <v>N/A</v>
      </c>
      <c r="I24" s="744" t="str">
        <f t="shared" si="0"/>
        <v>N/A</v>
      </c>
      <c r="J24" s="697">
        <f>'System Efficiencies'!B2</f>
        <v>0.85</v>
      </c>
      <c r="K24" s="748">
        <f t="shared" si="1"/>
        <v>0.85</v>
      </c>
      <c r="L24" s="697" t="s">
        <v>431</v>
      </c>
      <c r="M24" s="712" t="str">
        <f t="shared" si="2"/>
        <v>N/A</v>
      </c>
      <c r="N24" s="673"/>
      <c r="O24" s="673"/>
      <c r="P24" s="673"/>
      <c r="Q24" s="673"/>
      <c r="R24" s="673"/>
      <c r="S24" s="673"/>
      <c r="T24" s="673"/>
      <c r="U24" s="673"/>
      <c r="V24" s="673"/>
    </row>
    <row r="25" spans="1:29" ht="19" thickTop="1" thickBot="1">
      <c r="A25" s="894"/>
      <c r="B25" s="888" t="s">
        <v>320</v>
      </c>
      <c r="C25" s="889"/>
      <c r="D25" s="859"/>
      <c r="E25" s="737" t="s">
        <v>449</v>
      </c>
      <c r="F25" s="738">
        <v>0</v>
      </c>
      <c r="G25" s="739">
        <v>0</v>
      </c>
      <c r="H25" s="694" t="str">
        <f>IF(E25="No","N/A",'Capital Cost Structure'!D18)</f>
        <v>N/A</v>
      </c>
      <c r="I25" s="745" t="str">
        <f t="shared" si="0"/>
        <v>N/A</v>
      </c>
      <c r="J25" s="698">
        <f>'System Efficiencies'!B2</f>
        <v>0.85</v>
      </c>
      <c r="K25" s="749">
        <f t="shared" si="1"/>
        <v>0.85</v>
      </c>
      <c r="L25" s="698" t="s">
        <v>431</v>
      </c>
      <c r="M25" s="713" t="str">
        <f t="shared" si="2"/>
        <v>N/A</v>
      </c>
      <c r="N25" s="673"/>
      <c r="O25" s="673"/>
      <c r="P25" s="673"/>
      <c r="Q25" s="673"/>
      <c r="R25" s="673"/>
      <c r="S25" s="673"/>
      <c r="T25" s="673"/>
      <c r="U25" s="673"/>
      <c r="V25" s="673"/>
    </row>
    <row r="26" spans="1:29" ht="18" thickBot="1">
      <c r="A26" s="880" t="s">
        <v>250</v>
      </c>
      <c r="B26" s="886" t="s">
        <v>321</v>
      </c>
      <c r="C26" s="887"/>
      <c r="D26" s="862"/>
      <c r="E26" s="734" t="s">
        <v>449</v>
      </c>
      <c r="F26" s="735">
        <v>0</v>
      </c>
      <c r="G26" s="736">
        <v>0</v>
      </c>
      <c r="H26" s="693" t="str">
        <f>IF(E26="No","N/A",'Capital Cost Structure'!D26)</f>
        <v>N/A</v>
      </c>
      <c r="I26" s="744" t="str">
        <f t="shared" si="0"/>
        <v>N/A</v>
      </c>
      <c r="J26" s="699">
        <f>'System Efficiencies'!B4</f>
        <v>3.5</v>
      </c>
      <c r="K26" s="750">
        <f t="shared" si="1"/>
        <v>3.5</v>
      </c>
      <c r="L26" s="699" t="str">
        <f>IF(C8="No","N/A",'System Efficiencies'!B5)</f>
        <v>N/A</v>
      </c>
      <c r="M26" s="750" t="str">
        <f t="shared" si="2"/>
        <v>N/A</v>
      </c>
    </row>
    <row r="27" spans="1:29" ht="19" thickTop="1" thickBot="1">
      <c r="A27" s="893"/>
      <c r="B27" s="886" t="s">
        <v>322</v>
      </c>
      <c r="C27" s="887"/>
      <c r="D27" s="862"/>
      <c r="E27" s="734" t="s">
        <v>448</v>
      </c>
      <c r="F27" s="735">
        <v>0</v>
      </c>
      <c r="G27" s="736">
        <v>0</v>
      </c>
      <c r="H27" s="693">
        <f>IF(E27="No","N/A",'Capital Cost Structure'!D34)</f>
        <v>282</v>
      </c>
      <c r="I27" s="744">
        <f t="shared" si="0"/>
        <v>282</v>
      </c>
      <c r="J27" s="699">
        <f>'System Efficiencies'!B4</f>
        <v>3.5</v>
      </c>
      <c r="K27" s="750">
        <f t="shared" si="1"/>
        <v>3.5</v>
      </c>
      <c r="L27" s="699" t="str">
        <f>IF(C8="No","N/A",'System Efficiencies'!B5)</f>
        <v>N/A</v>
      </c>
      <c r="M27" s="750" t="str">
        <f t="shared" si="2"/>
        <v>N/A</v>
      </c>
    </row>
    <row r="28" spans="1:29" ht="19" thickTop="1" thickBot="1">
      <c r="A28" s="893"/>
      <c r="B28" s="886" t="s">
        <v>323</v>
      </c>
      <c r="C28" s="887"/>
      <c r="D28" s="862"/>
      <c r="E28" s="734" t="s">
        <v>448</v>
      </c>
      <c r="F28" s="735">
        <v>0</v>
      </c>
      <c r="G28" s="736">
        <v>0</v>
      </c>
      <c r="H28" s="693">
        <f>IF(E28="No","N/A",'Capital Cost Structure'!D42)</f>
        <v>346</v>
      </c>
      <c r="I28" s="744">
        <f t="shared" si="0"/>
        <v>346</v>
      </c>
      <c r="J28" s="699">
        <f>'System Efficiencies'!B4</f>
        <v>3.5</v>
      </c>
      <c r="K28" s="750">
        <f t="shared" si="1"/>
        <v>3.5</v>
      </c>
      <c r="L28" s="699" t="str">
        <f>IF(C8="No","N/A",'System Efficiencies'!B5)</f>
        <v>N/A</v>
      </c>
      <c r="M28" s="750" t="str">
        <f t="shared" si="2"/>
        <v>N/A</v>
      </c>
    </row>
    <row r="29" spans="1:29" ht="20" customHeight="1" thickTop="1" thickBot="1">
      <c r="A29" s="895"/>
      <c r="B29" s="860" t="s">
        <v>329</v>
      </c>
      <c r="C29" s="861"/>
      <c r="D29" s="862"/>
      <c r="E29" s="734" t="s">
        <v>448</v>
      </c>
      <c r="F29" s="735">
        <v>0</v>
      </c>
      <c r="G29" s="736">
        <v>0</v>
      </c>
      <c r="H29" s="693">
        <f>IF(E29="No","N/A",'Capital Cost Structure'!D50)</f>
        <v>205</v>
      </c>
      <c r="I29" s="744">
        <f t="shared" si="0"/>
        <v>205</v>
      </c>
      <c r="J29" s="699">
        <f>'System Efficiencies'!B10</f>
        <v>3.5</v>
      </c>
      <c r="K29" s="750">
        <f t="shared" si="1"/>
        <v>3.5</v>
      </c>
      <c r="L29" s="701" t="str">
        <f>IF(C8="No","N/A",'System Efficiencies'!B11)</f>
        <v>N/A</v>
      </c>
      <c r="M29" s="750" t="str">
        <f t="shared" si="2"/>
        <v>N/A</v>
      </c>
    </row>
    <row r="30" spans="1:29" ht="18" thickBot="1">
      <c r="A30" s="892" t="s">
        <v>423</v>
      </c>
      <c r="B30" s="890" t="s">
        <v>325</v>
      </c>
      <c r="C30" s="891"/>
      <c r="D30" s="885"/>
      <c r="E30" s="731" t="s">
        <v>449</v>
      </c>
      <c r="F30" s="732">
        <v>0</v>
      </c>
      <c r="G30" s="733">
        <v>0</v>
      </c>
      <c r="H30" s="692" t="str">
        <f>IF(E30="No","N/A",'Capital Cost Structure'!D52)</f>
        <v>N/A</v>
      </c>
      <c r="I30" s="743" t="str">
        <f t="shared" si="0"/>
        <v>N/A</v>
      </c>
      <c r="J30" s="700">
        <f>'System Efficiencies'!B4</f>
        <v>3.5</v>
      </c>
      <c r="K30" s="751">
        <f t="shared" si="1"/>
        <v>3.5</v>
      </c>
      <c r="L30" s="700" t="str">
        <f>IF(C8="No","N/A",'System Efficiencies'!B5)</f>
        <v>N/A</v>
      </c>
      <c r="M30" s="751" t="str">
        <f t="shared" si="2"/>
        <v>N/A</v>
      </c>
    </row>
    <row r="31" spans="1:29" ht="19" thickTop="1" thickBot="1">
      <c r="A31" s="881"/>
      <c r="B31" s="860" t="s">
        <v>326</v>
      </c>
      <c r="C31" s="861"/>
      <c r="D31" s="862"/>
      <c r="E31" s="734" t="s">
        <v>449</v>
      </c>
      <c r="F31" s="735">
        <v>0</v>
      </c>
      <c r="G31" s="736">
        <v>0</v>
      </c>
      <c r="H31" s="693" t="str">
        <f>IF(E31="No","N/A",'Capital Cost Structure'!D60)</f>
        <v>N/A</v>
      </c>
      <c r="I31" s="744" t="str">
        <f t="shared" si="0"/>
        <v>N/A</v>
      </c>
      <c r="J31" s="699">
        <f>'System Efficiencies'!B4</f>
        <v>3.5</v>
      </c>
      <c r="K31" s="750">
        <f t="shared" si="1"/>
        <v>3.5</v>
      </c>
      <c r="L31" s="699" t="str">
        <f>IF(C8="No","N/A",'System Efficiencies'!B5)</f>
        <v>N/A</v>
      </c>
      <c r="M31" s="750" t="str">
        <f t="shared" si="2"/>
        <v>N/A</v>
      </c>
    </row>
    <row r="32" spans="1:29" ht="19" thickTop="1" thickBot="1">
      <c r="A32" s="902"/>
      <c r="B32" s="857" t="s">
        <v>424</v>
      </c>
      <c r="C32" s="858"/>
      <c r="D32" s="859"/>
      <c r="E32" s="737" t="s">
        <v>449</v>
      </c>
      <c r="F32" s="738">
        <v>0</v>
      </c>
      <c r="G32" s="739">
        <v>0</v>
      </c>
      <c r="H32" s="694" t="str">
        <f>IF(E32="No","N/A",'Capital Cost Structure'!D68)</f>
        <v>N/A</v>
      </c>
      <c r="I32" s="745" t="str">
        <f t="shared" si="0"/>
        <v>N/A</v>
      </c>
      <c r="J32" s="701">
        <f>'System Efficiencies'!B4</f>
        <v>3.5</v>
      </c>
      <c r="K32" s="752">
        <f t="shared" si="1"/>
        <v>3.5</v>
      </c>
      <c r="L32" s="701" t="str">
        <f>IF(C8="No","N/A",'System Efficiencies'!B5)</f>
        <v>N/A</v>
      </c>
      <c r="M32" s="752" t="str">
        <f t="shared" si="2"/>
        <v>N/A</v>
      </c>
    </row>
    <row r="33" spans="1:22" ht="18" thickBot="1">
      <c r="A33" s="880" t="s">
        <v>332</v>
      </c>
      <c r="B33" s="860" t="s">
        <v>432</v>
      </c>
      <c r="C33" s="861"/>
      <c r="D33" s="862"/>
      <c r="E33" s="734" t="s">
        <v>449</v>
      </c>
      <c r="F33" s="735">
        <v>0</v>
      </c>
      <c r="G33" s="736">
        <v>0</v>
      </c>
      <c r="H33" s="693" t="str">
        <f>IF(E33="No","N/A",'Capital Cost Structure'!D76)</f>
        <v>N/A</v>
      </c>
      <c r="I33" s="744" t="str">
        <f t="shared" si="0"/>
        <v>N/A</v>
      </c>
      <c r="J33" s="699">
        <f>'System Efficiencies'!B8</f>
        <v>3.5</v>
      </c>
      <c r="K33" s="750">
        <f t="shared" si="1"/>
        <v>3.5</v>
      </c>
      <c r="L33" s="700" t="str">
        <f>IF(C8="No","N/A",'System Efficiencies'!B9)</f>
        <v>N/A</v>
      </c>
      <c r="M33" s="750" t="str">
        <f t="shared" si="2"/>
        <v>N/A</v>
      </c>
    </row>
    <row r="34" spans="1:22" ht="20" customHeight="1" thickTop="1" thickBot="1">
      <c r="A34" s="881"/>
      <c r="B34" s="860" t="s">
        <v>330</v>
      </c>
      <c r="C34" s="861"/>
      <c r="D34" s="862"/>
      <c r="E34" s="734" t="s">
        <v>448</v>
      </c>
      <c r="F34" s="735">
        <v>0</v>
      </c>
      <c r="G34" s="736">
        <v>0</v>
      </c>
      <c r="H34" s="693">
        <f>IF(E34="No","N/A",'Capital Cost Structure'!D83)</f>
        <v>282</v>
      </c>
      <c r="I34" s="744">
        <f t="shared" si="0"/>
        <v>282</v>
      </c>
      <c r="J34" s="699">
        <f>'System Efficiencies'!B12</f>
        <v>3.5</v>
      </c>
      <c r="K34" s="750">
        <f t="shared" si="1"/>
        <v>3.5</v>
      </c>
      <c r="L34" s="699" t="str">
        <f>IF(C8="No","N/A",'System Efficiencies'!B13)</f>
        <v>N/A</v>
      </c>
      <c r="M34" s="750" t="str">
        <f t="shared" si="2"/>
        <v>N/A</v>
      </c>
    </row>
    <row r="35" spans="1:22" ht="19" thickTop="1" thickBot="1">
      <c r="A35" s="882"/>
      <c r="B35" s="860" t="s">
        <v>331</v>
      </c>
      <c r="C35" s="861"/>
      <c r="D35" s="862"/>
      <c r="E35" s="734" t="s">
        <v>448</v>
      </c>
      <c r="F35" s="735">
        <v>0</v>
      </c>
      <c r="G35" s="736">
        <v>0</v>
      </c>
      <c r="H35" s="693">
        <f>IF(E35="No","N/A",'Capital Cost Structure'!D85)</f>
        <v>366</v>
      </c>
      <c r="I35" s="744">
        <f t="shared" si="0"/>
        <v>366</v>
      </c>
      <c r="J35" s="699">
        <f>'System Efficiencies'!B12</f>
        <v>3.5</v>
      </c>
      <c r="K35" s="750">
        <f t="shared" si="1"/>
        <v>3.5</v>
      </c>
      <c r="L35" s="699" t="str">
        <f>IF(C8="No","N/A",'System Efficiencies'!B13)</f>
        <v>N/A</v>
      </c>
      <c r="M35" s="750" t="str">
        <f t="shared" si="2"/>
        <v>N/A</v>
      </c>
    </row>
    <row r="36" spans="1:22" ht="18" thickBot="1">
      <c r="A36" s="689"/>
      <c r="B36" s="854" t="s">
        <v>328</v>
      </c>
      <c r="C36" s="855"/>
      <c r="D36" s="856"/>
      <c r="E36" s="740" t="s">
        <v>448</v>
      </c>
      <c r="F36" s="741">
        <v>100000</v>
      </c>
      <c r="G36" s="742">
        <v>0</v>
      </c>
      <c r="H36" s="695">
        <f>IF(E36="No","N/A",'Capital Cost Structure'!D87)</f>
        <v>77</v>
      </c>
      <c r="I36" s="746">
        <f t="shared" si="0"/>
        <v>77</v>
      </c>
      <c r="J36" s="702">
        <f>'System Efficiencies'!B14</f>
        <v>1</v>
      </c>
      <c r="K36" s="753">
        <f t="shared" si="1"/>
        <v>1</v>
      </c>
      <c r="L36" s="702" t="s">
        <v>431</v>
      </c>
      <c r="M36" s="714" t="str">
        <f t="shared" si="2"/>
        <v>N/A</v>
      </c>
    </row>
    <row r="37" spans="1:22" ht="16" customHeight="1" thickBot="1">
      <c r="E37" s="687"/>
      <c r="F37" s="668"/>
      <c r="G37" s="667"/>
      <c r="H37" s="667"/>
      <c r="I37" s="667"/>
      <c r="J37" s="667"/>
      <c r="K37" s="667"/>
      <c r="L37" s="667"/>
      <c r="M37" s="667"/>
      <c r="N37" s="667"/>
      <c r="O37" s="667"/>
      <c r="P37" s="667"/>
      <c r="Q37" s="667"/>
      <c r="R37" s="667"/>
      <c r="S37" s="667"/>
      <c r="T37" s="667"/>
      <c r="U37" s="667"/>
      <c r="V37" s="662"/>
    </row>
    <row r="38" spans="1:22" ht="16" customHeight="1">
      <c r="A38" s="865" t="s">
        <v>443</v>
      </c>
      <c r="B38" s="896"/>
      <c r="C38" s="896"/>
      <c r="D38" s="897"/>
      <c r="E38" s="897"/>
      <c r="F38" s="897"/>
      <c r="G38" s="898"/>
      <c r="H38" s="898"/>
      <c r="I38" s="898"/>
      <c r="J38" s="866"/>
      <c r="K38" s="866"/>
      <c r="L38" s="866"/>
      <c r="M38" s="867"/>
    </row>
    <row r="39" spans="1:22" ht="16" customHeight="1">
      <c r="A39" s="868"/>
      <c r="B39" s="869"/>
      <c r="C39" s="869"/>
      <c r="D39" s="869"/>
      <c r="E39" s="869"/>
      <c r="F39" s="869"/>
      <c r="G39" s="869"/>
      <c r="H39" s="869"/>
      <c r="I39" s="869"/>
      <c r="J39" s="869"/>
      <c r="K39" s="869"/>
      <c r="L39" s="869"/>
      <c r="M39" s="870"/>
    </row>
    <row r="40" spans="1:22" ht="16" customHeight="1" thickBot="1">
      <c r="A40" s="899"/>
      <c r="B40" s="900"/>
      <c r="C40" s="900"/>
      <c r="D40" s="900"/>
      <c r="E40" s="900"/>
      <c r="F40" s="900"/>
      <c r="G40" s="900"/>
      <c r="H40" s="900"/>
      <c r="I40" s="900"/>
      <c r="J40" s="900"/>
      <c r="K40" s="900"/>
      <c r="L40" s="900"/>
      <c r="M40" s="901"/>
    </row>
    <row r="41" spans="1:22" ht="16" customHeight="1" thickBot="1">
      <c r="E41" s="668"/>
      <c r="F41" s="668"/>
    </row>
    <row r="42" spans="1:22" ht="16" customHeight="1">
      <c r="A42" s="865" t="s">
        <v>468</v>
      </c>
      <c r="B42" s="866"/>
      <c r="C42" s="866"/>
      <c r="D42" s="866"/>
      <c r="E42" s="866"/>
      <c r="F42" s="866"/>
      <c r="G42" s="866"/>
      <c r="H42" s="866"/>
      <c r="I42" s="866"/>
      <c r="J42" s="866"/>
      <c r="K42" s="866"/>
      <c r="L42" s="866"/>
      <c r="M42" s="867"/>
    </row>
    <row r="43" spans="1:22" ht="16" customHeight="1">
      <c r="A43" s="868"/>
      <c r="B43" s="869"/>
      <c r="C43" s="869"/>
      <c r="D43" s="869"/>
      <c r="E43" s="869"/>
      <c r="F43" s="869"/>
      <c r="G43" s="869"/>
      <c r="H43" s="869"/>
      <c r="I43" s="869"/>
      <c r="J43" s="869"/>
      <c r="K43" s="869"/>
      <c r="L43" s="869"/>
      <c r="M43" s="870"/>
    </row>
    <row r="44" spans="1:22" ht="16" customHeight="1" thickBot="1">
      <c r="A44" s="871"/>
      <c r="B44" s="872"/>
      <c r="C44" s="872"/>
      <c r="D44" s="872"/>
      <c r="E44" s="872"/>
      <c r="F44" s="872"/>
      <c r="G44" s="872"/>
      <c r="H44" s="872"/>
      <c r="I44" s="872"/>
      <c r="J44" s="872"/>
      <c r="K44" s="872"/>
      <c r="L44" s="872"/>
      <c r="M44" s="873"/>
    </row>
    <row r="45" spans="1:22" ht="16" customHeight="1" thickBot="1">
      <c r="E45" s="669"/>
      <c r="F45" s="669"/>
    </row>
    <row r="46" spans="1:22" ht="16" customHeight="1">
      <c r="A46" s="874" t="s">
        <v>441</v>
      </c>
      <c r="B46" s="875"/>
      <c r="C46" s="875"/>
      <c r="D46" s="875"/>
      <c r="E46" s="875"/>
      <c r="F46" s="875"/>
      <c r="G46" s="875"/>
      <c r="H46" s="875"/>
      <c r="I46" s="875"/>
      <c r="J46" s="875"/>
      <c r="K46" s="875"/>
      <c r="L46" s="875"/>
      <c r="M46" s="876"/>
    </row>
    <row r="47" spans="1:22" ht="17" customHeight="1" thickBot="1">
      <c r="A47" s="877"/>
      <c r="B47" s="878"/>
      <c r="C47" s="878"/>
      <c r="D47" s="878"/>
      <c r="E47" s="878"/>
      <c r="F47" s="878"/>
      <c r="G47" s="878"/>
      <c r="H47" s="878"/>
      <c r="I47" s="878"/>
      <c r="J47" s="878"/>
      <c r="K47" s="878"/>
      <c r="L47" s="878"/>
      <c r="M47" s="879"/>
    </row>
    <row r="48" spans="1:22">
      <c r="E48" s="663"/>
    </row>
    <row r="49" spans="5:5">
      <c r="E49" s="663"/>
    </row>
    <row r="50" spans="5:5">
      <c r="E50" s="670"/>
    </row>
    <row r="51" spans="5:5">
      <c r="E51" s="670"/>
    </row>
    <row r="52" spans="5:5">
      <c r="E52" s="671"/>
    </row>
    <row r="53" spans="5:5">
      <c r="E53" s="671"/>
    </row>
  </sheetData>
  <sheetProtection password="CA29" sheet="1" objects="1" scenarios="1" selectLockedCells="1"/>
  <mergeCells count="42">
    <mergeCell ref="A42:M44"/>
    <mergeCell ref="A46:M47"/>
    <mergeCell ref="A33:A35"/>
    <mergeCell ref="B23:D23"/>
    <mergeCell ref="B24:D24"/>
    <mergeCell ref="B25:D25"/>
    <mergeCell ref="B35:D35"/>
    <mergeCell ref="B30:D30"/>
    <mergeCell ref="B26:D26"/>
    <mergeCell ref="A23:A25"/>
    <mergeCell ref="A26:A29"/>
    <mergeCell ref="B27:D27"/>
    <mergeCell ref="B28:D28"/>
    <mergeCell ref="A38:M40"/>
    <mergeCell ref="B29:D29"/>
    <mergeCell ref="A30:A32"/>
    <mergeCell ref="B36:D36"/>
    <mergeCell ref="A15:C15"/>
    <mergeCell ref="A16:C16"/>
    <mergeCell ref="B32:D32"/>
    <mergeCell ref="B33:D33"/>
    <mergeCell ref="B34:D34"/>
    <mergeCell ref="A22:D22"/>
    <mergeCell ref="B31:D31"/>
    <mergeCell ref="A17:C17"/>
    <mergeCell ref="E2:M4"/>
    <mergeCell ref="E10:J13"/>
    <mergeCell ref="C2:D2"/>
    <mergeCell ref="E17:K18"/>
    <mergeCell ref="E15:K16"/>
    <mergeCell ref="D8:M8"/>
    <mergeCell ref="A18:C18"/>
    <mergeCell ref="A10:C10"/>
    <mergeCell ref="A11:C11"/>
    <mergeCell ref="A12:C12"/>
    <mergeCell ref="A13:C13"/>
    <mergeCell ref="A8:B8"/>
    <mergeCell ref="C1:D1"/>
    <mergeCell ref="C3:D3"/>
    <mergeCell ref="C4:D4"/>
    <mergeCell ref="C5:D5"/>
    <mergeCell ref="C6:D6"/>
  </mergeCells>
  <dataValidations count="4">
    <dataValidation type="list" errorStyle="warning" showInputMessage="1" showErrorMessage="1" errorTitle="Region" error="If a default region is not selected, please manually enter the Fuel Costs for each system." sqref="C2">
      <formula1>Climate_Zones</formula1>
    </dataValidation>
    <dataValidation type="list" showInputMessage="1" showErrorMessage="1" errorTitle="Invalid Analysis Period" error="Please enter a valid analysis period from the drop-down list." sqref="C6">
      <formula1>Analysis_Period</formula1>
    </dataValidation>
    <dataValidation type="decimal" allowBlank="1" showInputMessage="1" showErrorMessage="1" sqref="G23:G36">
      <formula1>0</formula1>
      <formula2>1</formula2>
    </dataValidation>
    <dataValidation type="list" errorStyle="warning" allowBlank="1" showInputMessage="1" showErrorMessage="1" errorTitle="Location" error="If a default Location is not selected from the list, please manually enter Specific Heating &amp; Cooling Loads (cells D11 &amp; D13), and Specific Electricity &amp; Wood Fuel Costs (cells D16 &amp; D18)" sqref="C3:D3">
      <formula1>INDIRECT($C$2)</formula1>
    </dataValidation>
  </dataValidations>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count="4">
        <x14:dataValidation type="list" showInputMessage="1" showErrorMessage="1">
          <x14:formula1>
            <xm:f>'NPV Summary'!$A$2:$A$3</xm:f>
          </x14:formula1>
          <xm:sqref>C8 E26:E32 E34:E35</xm:sqref>
        </x14:dataValidation>
        <x14:dataValidation type="list" showInputMessage="1" showErrorMessage="1" prompt="The capital cost of Packaged Ducted A/C systems includes mechanical ventilation; adjust 'Specific Infrastructure Costs' to ensure that the cost of mechanical ventilation is included uniformly across all system options.">
          <x14:formula1>
            <xm:f>'NPV Summary'!$A$2:$A$3</xm:f>
          </x14:formula1>
          <xm:sqref>E33</xm:sqref>
        </x14:dataValidation>
        <x14:dataValidation type="list" allowBlank="1" showInputMessage="1" showErrorMessage="1">
          <x14:formula1>
            <xm:f>IF($C$8="Yes",'NPV Summary'!$A$3,'NPV Summary'!$A$2:$A$3)</xm:f>
          </x14:formula1>
          <xm:sqref>E23 E24:E25</xm:sqref>
        </x14:dataValidation>
        <x14:dataValidation type="list" showInputMessage="1" showErrorMessage="1">
          <x14:formula1>
            <xm:f>IF($C$8="Yes",'NPV Summary'!$A$3,'NPV Summary'!$A$2:$A$3)</xm:f>
          </x14:formula1>
          <xm:sqref>E36</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tabSelected="1" workbookViewId="0">
      <selection activeCell="G19" sqref="G19"/>
    </sheetView>
  </sheetViews>
  <sheetFormatPr baseColWidth="10" defaultRowHeight="15" x14ac:dyDescent="0"/>
  <cols>
    <col min="1" max="1" width="7.1640625" style="769" customWidth="1"/>
    <col min="2" max="2" width="29.83203125" style="770" customWidth="1"/>
    <col min="3" max="3" width="18.5" style="770" customWidth="1"/>
    <col min="4" max="9" width="13" style="770" customWidth="1"/>
    <col min="10" max="10" width="13" style="769" customWidth="1"/>
  </cols>
  <sheetData>
    <row r="1" spans="1:11" ht="24" customHeight="1" thickTop="1">
      <c r="A1" s="950" t="str">
        <f>'NPV Analysis'!B1</f>
        <v>Alpha School</v>
      </c>
      <c r="B1" s="951"/>
      <c r="C1" s="952"/>
      <c r="D1" s="932" t="s">
        <v>444</v>
      </c>
      <c r="E1" s="932" t="s">
        <v>445</v>
      </c>
      <c r="F1" s="932" t="s">
        <v>437</v>
      </c>
      <c r="G1" s="932" t="s">
        <v>438</v>
      </c>
      <c r="H1" s="932" t="s">
        <v>440</v>
      </c>
      <c r="I1" s="932" t="s">
        <v>439</v>
      </c>
      <c r="J1" s="965" t="s">
        <v>310</v>
      </c>
      <c r="K1" s="541"/>
    </row>
    <row r="2" spans="1:11" ht="24" customHeight="1">
      <c r="A2" s="953" t="s">
        <v>451</v>
      </c>
      <c r="B2" s="954"/>
      <c r="C2" s="955"/>
      <c r="D2" s="933"/>
      <c r="E2" s="933"/>
      <c r="F2" s="933"/>
      <c r="G2" s="933"/>
      <c r="H2" s="933"/>
      <c r="I2" s="933"/>
      <c r="J2" s="966"/>
      <c r="K2" s="541"/>
    </row>
    <row r="3" spans="1:11" ht="24" customHeight="1" thickBot="1">
      <c r="A3" s="755">
        <f>Inputs!C6</f>
        <v>20</v>
      </c>
      <c r="B3" s="956" t="s">
        <v>311</v>
      </c>
      <c r="C3" s="957"/>
      <c r="D3" s="934"/>
      <c r="E3" s="934"/>
      <c r="F3" s="934"/>
      <c r="G3" s="934"/>
      <c r="H3" s="934"/>
      <c r="I3" s="934"/>
      <c r="J3" s="967"/>
    </row>
    <row r="4" spans="1:11" ht="24" customHeight="1" thickBot="1">
      <c r="A4" s="968" t="s">
        <v>249</v>
      </c>
      <c r="B4" s="958" t="s">
        <v>318</v>
      </c>
      <c r="C4" s="927"/>
      <c r="D4" s="756" t="str">
        <f>IF(OR(Inputs!$C$8="Yes",Inputs!E23="No"),"",Inputs!I23-(Inputs!G23*Inputs!I23))</f>
        <v/>
      </c>
      <c r="E4" s="756" t="str">
        <f>IF(OR(Inputs!E23="No",Inputs!$C$8="Yes"),"",'NPV Analysis'!C44/Inputs!$C$4)</f>
        <v/>
      </c>
      <c r="F4" s="756" t="str">
        <f>IF(OR(Inputs!E23="No",Inputs!$C$8="Yes"),"",'NPV Analysis'!C45/Inputs!$C$4)</f>
        <v/>
      </c>
      <c r="G4" s="756" t="str">
        <f>IF(OR(Inputs!E23="No",Inputs!$C$8="Yes"),"",'NPV Analysis'!C46/Inputs!$C$4)</f>
        <v/>
      </c>
      <c r="H4" s="756" t="str">
        <f>IF(OR(Inputs!E23="No",Inputs!$C$8="Yes"),"",'NPV Analysis'!C47/Inputs!$C$4)</f>
        <v/>
      </c>
      <c r="I4" s="756" t="str">
        <f>IF(ISERROR('NPV Summary'!A45),"",'NPV Summary'!A45)</f>
        <v/>
      </c>
      <c r="J4" s="757" t="str">
        <f>IF(I4&lt;&gt;"",COUNTIF($I$4:$I$17,"&lt;"&amp;I4)+1,"")</f>
        <v/>
      </c>
    </row>
    <row r="5" spans="1:11" ht="24" customHeight="1" thickTop="1" thickBot="1">
      <c r="A5" s="969"/>
      <c r="B5" s="977" t="s">
        <v>319</v>
      </c>
      <c r="C5" s="906"/>
      <c r="D5" s="758" t="str">
        <f>IF(OR(Inputs!$C$8="Yes",Inputs!E24="No"),"",Inputs!I24-(Inputs!G24*Inputs!I24))</f>
        <v/>
      </c>
      <c r="E5" s="758" t="str">
        <f>IF(OR(Inputs!E24="No",Inputs!$C$8="Yes"),"",'NPV Analysis'!C83/Inputs!$C$4)</f>
        <v/>
      </c>
      <c r="F5" s="758" t="str">
        <f>IF(OR(Inputs!E24="No",Inputs!$C$8="Yes"),"",'NPV Analysis'!C84/Inputs!$C$4)</f>
        <v/>
      </c>
      <c r="G5" s="758" t="str">
        <f>IF(OR(Inputs!E24="No",Inputs!$C$8="Yes"),"",'NPV Analysis'!C85/Inputs!$C$4)</f>
        <v/>
      </c>
      <c r="H5" s="758" t="str">
        <f>IF(OR(Inputs!E24="No",Inputs!$C$8="Yes"),"",'NPV Analysis'!C86/Inputs!$C$4)</f>
        <v/>
      </c>
      <c r="I5" s="758" t="str">
        <f>IF(ISERROR('NPV Summary'!A46),"",'NPV Summary'!A46)</f>
        <v/>
      </c>
      <c r="J5" s="759" t="str">
        <f t="shared" ref="J5:J17" si="0">IF(I5&lt;&gt;"",COUNTIF($I$4:$I$17,"&lt;"&amp;I5)+1,"")</f>
        <v/>
      </c>
    </row>
    <row r="6" spans="1:11" ht="24" customHeight="1" thickTop="1" thickBot="1">
      <c r="A6" s="970"/>
      <c r="B6" s="978" t="s">
        <v>320</v>
      </c>
      <c r="C6" s="929"/>
      <c r="D6" s="760" t="str">
        <f>IF(OR(Inputs!$C$8="Yes",Inputs!E25="No"),"",Inputs!I25-(Inputs!G25*Inputs!I25))</f>
        <v/>
      </c>
      <c r="E6" s="760" t="str">
        <f>IF(OR(Inputs!E25="No",Inputs!$C$8="Yes"),"",'NPV Analysis'!C122/Inputs!$C$4)</f>
        <v/>
      </c>
      <c r="F6" s="760" t="str">
        <f>IF(OR(Inputs!E25="No",Inputs!$C$8="Yes"),"",'NPV Analysis'!C123/Inputs!$C$4)</f>
        <v/>
      </c>
      <c r="G6" s="760" t="str">
        <f>IF(OR(Inputs!E25="No",Inputs!$C$8="Yes"),"",'NPV Analysis'!C124/Inputs!$C$4)</f>
        <v/>
      </c>
      <c r="H6" s="760" t="str">
        <f>IF(OR(Inputs!E25="No",Inputs!$C$8="Yes"),"",'NPV Analysis'!C125/Inputs!$C$4)</f>
        <v/>
      </c>
      <c r="I6" s="760" t="str">
        <f>IF(ISERROR('NPV Summary'!A47),"",'NPV Summary'!A47)</f>
        <v/>
      </c>
      <c r="J6" s="761" t="str">
        <f t="shared" si="0"/>
        <v/>
      </c>
    </row>
    <row r="7" spans="1:11" ht="24" customHeight="1" thickBot="1">
      <c r="A7" s="971" t="s">
        <v>250</v>
      </c>
      <c r="B7" s="958" t="s">
        <v>321</v>
      </c>
      <c r="C7" s="927"/>
      <c r="D7" s="762" t="str">
        <f>IF(Inputs!E26="No","",Inputs!I26-(Inputs!G26*Inputs!I26))</f>
        <v/>
      </c>
      <c r="E7" s="762" t="str">
        <f>IF(Inputs!E26="No","",'NPV Analysis'!C165/Inputs!$C$4)</f>
        <v/>
      </c>
      <c r="F7" s="762" t="str">
        <f>IF(Inputs!E26="No","",'NPV Analysis'!C166/Inputs!$C$4)</f>
        <v/>
      </c>
      <c r="G7" s="762" t="str">
        <f>IF(Inputs!E26="No","",'NPV Analysis'!C167/Inputs!$C$4)</f>
        <v/>
      </c>
      <c r="H7" s="762" t="str">
        <f>IF(Inputs!E26="No","",'NPV Analysis'!C168/Inputs!$C$4)</f>
        <v/>
      </c>
      <c r="I7" s="762" t="str">
        <f>IF(ISERROR('NPV Summary'!A48),"",'NPV Summary'!A48)</f>
        <v/>
      </c>
      <c r="J7" s="763" t="str">
        <f t="shared" si="0"/>
        <v/>
      </c>
    </row>
    <row r="8" spans="1:11" ht="24" customHeight="1" thickTop="1" thickBot="1">
      <c r="A8" s="969"/>
      <c r="B8" s="977" t="s">
        <v>322</v>
      </c>
      <c r="C8" s="906"/>
      <c r="D8" s="758">
        <f>IF(Inputs!E27="No","",Inputs!I27-(Inputs!G27*Inputs!I27))</f>
        <v>282</v>
      </c>
      <c r="E8" s="758">
        <f>IF(Inputs!E27="No","",'NPV Analysis'!C208/Inputs!$C$4)</f>
        <v>284.90667573407643</v>
      </c>
      <c r="F8" s="758">
        <f>IF(Inputs!E27="No","",'NPV Analysis'!C209/Inputs!$C$4)</f>
        <v>46.71582177590065</v>
      </c>
      <c r="G8" s="758">
        <f>IF(Inputs!E27="No","",'NPV Analysis'!C210/Inputs!$C$4)</f>
        <v>8.5781145331235518</v>
      </c>
      <c r="H8" s="758">
        <f>IF(Inputs!E27="No","",'NPV Analysis'!C211/Inputs!$C$4)</f>
        <v>79.712125627639651</v>
      </c>
      <c r="I8" s="758">
        <f>IF(ISERROR('NPV Summary'!A49),"",'NPV Summary'!A49)</f>
        <v>340.2006120431007</v>
      </c>
      <c r="J8" s="759">
        <f t="shared" si="0"/>
        <v>2</v>
      </c>
    </row>
    <row r="9" spans="1:11" ht="24" customHeight="1" thickTop="1" thickBot="1">
      <c r="A9" s="969"/>
      <c r="B9" s="905" t="s">
        <v>323</v>
      </c>
      <c r="C9" s="906"/>
      <c r="D9" s="760">
        <f>IF(Inputs!E28="No","",Inputs!I28-(Inputs!G28*Inputs!I28))</f>
        <v>346</v>
      </c>
      <c r="E9" s="760">
        <f>IF(Inputs!E28="No","",'NPV Analysis'!C251/Inputs!$C$4)</f>
        <v>358.57338553901542</v>
      </c>
      <c r="F9" s="760">
        <f>IF(Inputs!E28="No","",'NPV Analysis'!C252/Inputs!$C$4)</f>
        <v>57.317994093835559</v>
      </c>
      <c r="G9" s="760">
        <f>IF(Inputs!E28="No","",'NPV Analysis'!C253/Inputs!$C$4)</f>
        <v>8.5781145331235518</v>
      </c>
      <c r="H9" s="760">
        <f>IF(Inputs!E28="No","",'NPV Analysis'!C254/Inputs!$C$4)</f>
        <v>130.40376107405834</v>
      </c>
      <c r="I9" s="760">
        <f>IF(ISERROR('NPV Summary'!A50),"",'NPV Summary'!A50)</f>
        <v>424.46949416597454</v>
      </c>
      <c r="J9" s="761">
        <f t="shared" si="0"/>
        <v>5</v>
      </c>
    </row>
    <row r="10" spans="1:11" ht="24" customHeight="1" thickTop="1" thickBot="1">
      <c r="A10" s="972"/>
      <c r="B10" s="928" t="s">
        <v>324</v>
      </c>
      <c r="C10" s="929"/>
      <c r="D10" s="764">
        <f>IF(Inputs!E29="No","",Inputs!I29-(Inputs!G29*Inputs!I29))</f>
        <v>205</v>
      </c>
      <c r="E10" s="764">
        <f>IF(Inputs!E29="No","",'NPV Analysis'!C294/Inputs!$C$4)</f>
        <v>330.85221697585553</v>
      </c>
      <c r="F10" s="764">
        <f>IF(Inputs!E29="No","",'NPV Analysis'!C295/Inputs!$C$4)</f>
        <v>37.183253659373371</v>
      </c>
      <c r="G10" s="764">
        <f>IF(Inputs!E29="No","",'NPV Analysis'!C296/Inputs!$C$4)</f>
        <v>8.7625901144810445</v>
      </c>
      <c r="H10" s="764">
        <f>IF(Inputs!E29="No","",'NPV Analysis'!C297/Inputs!$C$4)</f>
        <v>0</v>
      </c>
      <c r="I10" s="764">
        <f>IF(ISERROR('NPV Summary'!A51),"",'NPV Summary'!A51)</f>
        <v>376.79806074970998</v>
      </c>
      <c r="J10" s="765">
        <f t="shared" si="0"/>
        <v>3</v>
      </c>
    </row>
    <row r="11" spans="1:11" ht="24" customHeight="1" thickBot="1">
      <c r="A11" s="973" t="s">
        <v>436</v>
      </c>
      <c r="B11" s="926" t="s">
        <v>325</v>
      </c>
      <c r="C11" s="927"/>
      <c r="D11" s="756" t="str">
        <f>IF(Inputs!E30="No","",Inputs!I30-(Inputs!G30*Inputs!I30))</f>
        <v/>
      </c>
      <c r="E11" s="756" t="str">
        <f>IF(Inputs!E30="No","",'NPV Analysis'!C337/Inputs!$C$4)</f>
        <v/>
      </c>
      <c r="F11" s="756" t="str">
        <f>IF(Inputs!E30="No","",'NPV Analysis'!C338/Inputs!$C$4)</f>
        <v/>
      </c>
      <c r="G11" s="756" t="str">
        <f>IF(Inputs!E30="No","",'NPV Analysis'!C339/Inputs!$C$4)</f>
        <v/>
      </c>
      <c r="H11" s="756" t="str">
        <f>IF(Inputs!E30="No","",'NPV Analysis'!C340/Inputs!$C$4)</f>
        <v/>
      </c>
      <c r="I11" s="756" t="str">
        <f>IF(ISERROR('NPV Summary'!A52),"",'NPV Summary'!A52)</f>
        <v/>
      </c>
      <c r="J11" s="757" t="str">
        <f t="shared" si="0"/>
        <v/>
      </c>
    </row>
    <row r="12" spans="1:11" ht="24" customHeight="1" thickTop="1" thickBot="1">
      <c r="A12" s="974"/>
      <c r="B12" s="905" t="s">
        <v>326</v>
      </c>
      <c r="C12" s="906"/>
      <c r="D12" s="758" t="str">
        <f>IF(Inputs!E31="No","",Inputs!I31-(Inputs!G31*Inputs!I31))</f>
        <v/>
      </c>
      <c r="E12" s="758" t="str">
        <f>IF(Inputs!E31="No","",'NPV Analysis'!C380/Inputs!$C$4)</f>
        <v/>
      </c>
      <c r="F12" s="758" t="str">
        <f>IF(Inputs!E31="No","",'NPV Analysis'!C381/Inputs!$C$4)</f>
        <v/>
      </c>
      <c r="G12" s="758" t="str">
        <f>IF(Inputs!E31="No","",'NPV Analysis'!C382/Inputs!$C$4)</f>
        <v/>
      </c>
      <c r="H12" s="758" t="str">
        <f>IF(Inputs!E31="No","",'NPV Analysis'!C383/Inputs!$C$4)</f>
        <v/>
      </c>
      <c r="I12" s="758" t="str">
        <f>IF(ISERROR('NPV Summary'!A53),"",'NPV Summary'!A53)</f>
        <v/>
      </c>
      <c r="J12" s="759" t="str">
        <f t="shared" si="0"/>
        <v/>
      </c>
    </row>
    <row r="13" spans="1:11" ht="24" customHeight="1" thickTop="1" thickBot="1">
      <c r="A13" s="975"/>
      <c r="B13" s="928" t="s">
        <v>424</v>
      </c>
      <c r="C13" s="929"/>
      <c r="D13" s="760" t="str">
        <f>IF(Inputs!E32="No","",Inputs!I32-(Inputs!G32*Inputs!I32))</f>
        <v/>
      </c>
      <c r="E13" s="760" t="str">
        <f>IF(Inputs!E32="No","",'NPV Analysis'!C423/Inputs!$C$4)</f>
        <v/>
      </c>
      <c r="F13" s="760" t="str">
        <f>IF(Inputs!E32="No","",'NPV Analysis'!C424/Inputs!$C$4)</f>
        <v/>
      </c>
      <c r="G13" s="760" t="str">
        <f>IF(Inputs!E32="No","",'NPV Analysis'!C425/Inputs!$C$4)</f>
        <v/>
      </c>
      <c r="H13" s="760" t="str">
        <f>IF(Inputs!E32="No","",'NPV Analysis'!C426/Inputs!$C$4)</f>
        <v/>
      </c>
      <c r="I13" s="760" t="str">
        <f>IF(ISERROR('NPV Summary'!A54),"",'NPV Summary'!A54)</f>
        <v/>
      </c>
      <c r="J13" s="761" t="str">
        <f t="shared" si="0"/>
        <v/>
      </c>
    </row>
    <row r="14" spans="1:11" ht="24" customHeight="1" thickBot="1">
      <c r="A14" s="971" t="s">
        <v>332</v>
      </c>
      <c r="B14" s="926" t="s">
        <v>327</v>
      </c>
      <c r="C14" s="927"/>
      <c r="D14" s="762" t="str">
        <f>IF(Inputs!E33="No","",Inputs!I33-(Inputs!G33*Inputs!I33))</f>
        <v/>
      </c>
      <c r="E14" s="762" t="str">
        <f>IF(Inputs!E33="No","",'NPV Analysis'!C466/Inputs!$C$4)</f>
        <v/>
      </c>
      <c r="F14" s="762" t="str">
        <f>IF(Inputs!E33="No","",'NPV Analysis'!C467/Inputs!$C$4)</f>
        <v/>
      </c>
      <c r="G14" s="762" t="str">
        <f>IF(Inputs!E33="No","",'NPV Analysis'!C468/Inputs!$C$4)</f>
        <v/>
      </c>
      <c r="H14" s="762" t="str">
        <f>IF(Inputs!E33="No","",'NPV Analysis'!C469/Inputs!$C$4)</f>
        <v/>
      </c>
      <c r="I14" s="762" t="str">
        <f>IF(ISERROR('NPV Summary'!A55),"",'NPV Summary'!A55)</f>
        <v/>
      </c>
      <c r="J14" s="763" t="str">
        <f t="shared" si="0"/>
        <v/>
      </c>
    </row>
    <row r="15" spans="1:11" ht="24" customHeight="1" thickTop="1" thickBot="1">
      <c r="A15" s="969"/>
      <c r="B15" s="905" t="s">
        <v>330</v>
      </c>
      <c r="C15" s="906"/>
      <c r="D15" s="758">
        <f>IF(Inputs!E34="No","",Inputs!I34-(Inputs!G34*Inputs!I34))</f>
        <v>282</v>
      </c>
      <c r="E15" s="758">
        <f>IF(Inputs!E34="No","",'NPV Analysis'!C509/Inputs!$C$4)</f>
        <v>346.79159888152947</v>
      </c>
      <c r="F15" s="758">
        <f>IF(Inputs!E34="No","",'NPV Analysis'!C510/Inputs!$C$4)</f>
        <v>48.689530606256184</v>
      </c>
      <c r="G15" s="758">
        <f>IF(Inputs!E34="No","",'NPV Analysis'!C511/Inputs!$C$4)</f>
        <v>8.5781145331235518</v>
      </c>
      <c r="H15" s="758">
        <f>IF(Inputs!E34="No","",'NPV Analysis'!C512/Inputs!$C$4)</f>
        <v>70.855222780124052</v>
      </c>
      <c r="I15" s="758">
        <f>IF(ISERROR('NPV Summary'!A56),"",'NPV Summary'!A56)</f>
        <v>404.0592440209092</v>
      </c>
      <c r="J15" s="759">
        <f t="shared" si="0"/>
        <v>4</v>
      </c>
    </row>
    <row r="16" spans="1:11" ht="24" customHeight="1" thickTop="1" thickBot="1">
      <c r="A16" s="976"/>
      <c r="B16" s="928" t="s">
        <v>331</v>
      </c>
      <c r="C16" s="929"/>
      <c r="D16" s="764">
        <f>IF(Inputs!E35="No","",Inputs!I35-(Inputs!G35*Inputs!I35))</f>
        <v>366</v>
      </c>
      <c r="E16" s="764">
        <f>IF(Inputs!E35="No","",'NPV Analysis'!C552/Inputs!$C$4)</f>
        <v>450.09122408028293</v>
      </c>
      <c r="F16" s="764">
        <f>IF(Inputs!E35="No","",'NPV Analysis'!C553/Inputs!$C$4)</f>
        <v>71.359375149971626</v>
      </c>
      <c r="G16" s="764">
        <f>IF(Inputs!E35="No","",'NPV Analysis'!C554/Inputs!$C$4)</f>
        <v>8.5781145331235518</v>
      </c>
      <c r="H16" s="764">
        <f>IF(Inputs!E35="No","",'NPV Analysis'!C555/Inputs!$C$4)</f>
        <v>91.961033821012194</v>
      </c>
      <c r="I16" s="764">
        <f>IF(ISERROR('NPV Summary'!A57),"",'NPV Summary'!A57)</f>
        <v>530.02871376337794</v>
      </c>
      <c r="J16" s="765">
        <f t="shared" si="0"/>
        <v>6</v>
      </c>
    </row>
    <row r="17" spans="1:10" ht="24" customHeight="1" thickBot="1">
      <c r="A17" s="766"/>
      <c r="B17" s="930" t="s">
        <v>328</v>
      </c>
      <c r="C17" s="931"/>
      <c r="D17" s="767">
        <f>IF(OR(Inputs!$C$8="Yes",Inputs!E36="No"),"",Inputs!I36-(Inputs!G36*Inputs!I36))</f>
        <v>77</v>
      </c>
      <c r="E17" s="767">
        <f>IF(OR(Inputs!E36="No",Inputs!$C$8="Yes"),"",'NPV Analysis'!C591/Inputs!$C$4)</f>
        <v>194.69132309885734</v>
      </c>
      <c r="F17" s="767">
        <f>IF(OR(Inputs!E36="No",Inputs!$C$8="Yes"),"",'NPV Analysis'!C592/Inputs!$C$4)</f>
        <v>13.294659066247254</v>
      </c>
      <c r="G17" s="767">
        <f>IF(OR(Inputs!E36="No",Inputs!$C$8="Yes"),"",'NPV Analysis'!C593/Inputs!$C$4)</f>
        <v>30.66906540068365</v>
      </c>
      <c r="H17" s="767">
        <f>IF(OR(Inputs!E36="No",Inputs!$C$8="Yes"),"",'NPV Analysis'!C594/Inputs!$C$4)</f>
        <v>19.346993454147356</v>
      </c>
      <c r="I17" s="767">
        <f>IF(ISERROR('NPV Summary'!A58),"",'NPV Summary'!A58)</f>
        <v>238.65504756578827</v>
      </c>
      <c r="J17" s="768">
        <f t="shared" si="0"/>
        <v>1</v>
      </c>
    </row>
    <row r="18" spans="1:10" ht="16" thickTop="1"/>
    <row r="19" spans="1:10" ht="16" thickBot="1">
      <c r="B19" s="771"/>
      <c r="C19" s="771"/>
      <c r="D19" s="771"/>
      <c r="E19" s="771"/>
      <c r="F19" s="771"/>
      <c r="G19" s="771"/>
      <c r="H19" s="771"/>
    </row>
    <row r="20" spans="1:10" ht="24" customHeight="1">
      <c r="A20" s="907" t="str">
        <f>'NPV Analysis'!B1</f>
        <v>Alpha School</v>
      </c>
      <c r="B20" s="908"/>
      <c r="C20" s="909"/>
      <c r="D20" s="771"/>
      <c r="E20" s="771"/>
      <c r="F20" s="771"/>
      <c r="G20" s="771"/>
      <c r="H20" s="771"/>
    </row>
    <row r="21" spans="1:10" ht="24" customHeight="1" thickBot="1">
      <c r="A21" s="936" t="s">
        <v>456</v>
      </c>
      <c r="B21" s="937"/>
      <c r="C21" s="938"/>
    </row>
    <row r="22" spans="1:10" ht="24" customHeight="1">
      <c r="A22" s="949" t="s">
        <v>381</v>
      </c>
      <c r="B22" s="944"/>
      <c r="C22" s="719" t="str">
        <f>Inputs!C2</f>
        <v>Climate_Zone_3</v>
      </c>
      <c r="D22" s="772"/>
    </row>
    <row r="23" spans="1:10" ht="24" customHeight="1" thickBot="1">
      <c r="A23" s="947" t="s">
        <v>278</v>
      </c>
      <c r="B23" s="948"/>
      <c r="C23" s="754" t="str">
        <f>Inputs!C3</f>
        <v>Nelson</v>
      </c>
      <c r="D23" s="772"/>
    </row>
    <row r="24" spans="1:10" ht="24" customHeight="1">
      <c r="A24" s="943" t="s">
        <v>32</v>
      </c>
      <c r="B24" s="944"/>
      <c r="C24" s="719">
        <f>Inputs!C5</f>
        <v>0.05</v>
      </c>
      <c r="D24" s="772"/>
    </row>
    <row r="25" spans="1:10" ht="24" customHeight="1" thickBot="1">
      <c r="A25" s="941" t="s">
        <v>313</v>
      </c>
      <c r="B25" s="942"/>
      <c r="C25" s="720">
        <f>Inputs!C6</f>
        <v>20</v>
      </c>
      <c r="D25" s="772"/>
    </row>
    <row r="26" spans="1:10" ht="24" customHeight="1">
      <c r="A26" s="945" t="s">
        <v>417</v>
      </c>
      <c r="B26" s="946"/>
      <c r="C26" s="773">
        <f>Inputs!C4</f>
        <v>1000</v>
      </c>
      <c r="D26" s="772"/>
    </row>
    <row r="27" spans="1:10" ht="24" customHeight="1" thickBot="1">
      <c r="A27" s="939" t="s">
        <v>407</v>
      </c>
      <c r="B27" s="940"/>
      <c r="C27" s="774" t="str">
        <f>Inputs!C8</f>
        <v>No</v>
      </c>
    </row>
    <row r="28" spans="1:10" ht="24" customHeight="1">
      <c r="A28" s="949" t="s">
        <v>419</v>
      </c>
      <c r="B28" s="944"/>
      <c r="C28" s="775">
        <f>Inputs!D11</f>
        <v>12</v>
      </c>
      <c r="D28" s="776"/>
      <c r="E28" s="777"/>
    </row>
    <row r="29" spans="1:10" ht="24" customHeight="1" thickBot="1">
      <c r="A29" s="961" t="s">
        <v>421</v>
      </c>
      <c r="B29" s="942"/>
      <c r="C29" s="778" t="str">
        <f>Inputs!D13</f>
        <v>N/A</v>
      </c>
      <c r="D29" s="776"/>
      <c r="E29" s="777"/>
    </row>
    <row r="30" spans="1:10" ht="24" customHeight="1">
      <c r="A30" s="949" t="s">
        <v>414</v>
      </c>
      <c r="B30" s="944"/>
      <c r="C30" s="779">
        <f>Inputs!D16</f>
        <v>0.18239999999999998</v>
      </c>
      <c r="D30" s="776"/>
      <c r="E30" s="780"/>
    </row>
    <row r="31" spans="1:10" ht="24" customHeight="1" thickBot="1">
      <c r="A31" s="961" t="s">
        <v>416</v>
      </c>
      <c r="B31" s="942"/>
      <c r="C31" s="778" t="str">
        <f>Inputs!D18</f>
        <v>N/A</v>
      </c>
      <c r="D31" s="776"/>
      <c r="E31" s="777"/>
    </row>
    <row r="32" spans="1:10" ht="16" thickBot="1"/>
    <row r="33" spans="1:9" ht="43" customHeight="1">
      <c r="A33" s="907" t="str">
        <f>Inputs!C1</f>
        <v>Alpha School</v>
      </c>
      <c r="B33" s="908"/>
      <c r="C33" s="909"/>
      <c r="D33" s="903" t="s">
        <v>429</v>
      </c>
      <c r="E33" s="903" t="s">
        <v>458</v>
      </c>
      <c r="F33" s="903" t="s">
        <v>450</v>
      </c>
      <c r="G33" s="903" t="s">
        <v>426</v>
      </c>
      <c r="H33" s="903" t="s">
        <v>428</v>
      </c>
      <c r="I33" s="903" t="s">
        <v>430</v>
      </c>
    </row>
    <row r="34" spans="1:9" ht="28" customHeight="1" thickBot="1">
      <c r="A34" s="936" t="s">
        <v>457</v>
      </c>
      <c r="B34" s="937"/>
      <c r="C34" s="938"/>
      <c r="D34" s="904"/>
      <c r="E34" s="904"/>
      <c r="F34" s="904"/>
      <c r="G34" s="904"/>
      <c r="H34" s="904"/>
      <c r="I34" s="904"/>
    </row>
    <row r="35" spans="1:9" ht="18" thickBot="1">
      <c r="A35" s="924" t="s">
        <v>249</v>
      </c>
      <c r="B35" s="910" t="s">
        <v>318</v>
      </c>
      <c r="C35" s="911"/>
      <c r="D35" s="781">
        <f>Inputs!F23</f>
        <v>0</v>
      </c>
      <c r="E35" s="782">
        <f>Inputs!G23</f>
        <v>0</v>
      </c>
      <c r="F35" s="783" t="str">
        <f>IF(Inputs!$C$8="Yes","No",Inputs!E23)</f>
        <v>No</v>
      </c>
      <c r="G35" s="783" t="str">
        <f>IF(Inputs!$C$8="Yes","N/A",Inputs!I23)</f>
        <v>N/A</v>
      </c>
      <c r="H35" s="784">
        <f>IF(Inputs!$C$8="Yes","N/A",Inputs!K23)</f>
        <v>0.85</v>
      </c>
      <c r="I35" s="785" t="str">
        <f>Inputs!M23</f>
        <v>N/A</v>
      </c>
    </row>
    <row r="36" spans="1:9" ht="19" thickTop="1" thickBot="1">
      <c r="A36" s="922"/>
      <c r="B36" s="915" t="s">
        <v>319</v>
      </c>
      <c r="C36" s="916"/>
      <c r="D36" s="786">
        <f>Inputs!F24</f>
        <v>0</v>
      </c>
      <c r="E36" s="787">
        <f>Inputs!G24</f>
        <v>0</v>
      </c>
      <c r="F36" s="788" t="str">
        <f>IF(Inputs!$C$8="Yes","No",Inputs!E24)</f>
        <v>No</v>
      </c>
      <c r="G36" s="788" t="str">
        <f>IF(Inputs!$C$8="Yes","N/A",Inputs!I24)</f>
        <v>N/A</v>
      </c>
      <c r="H36" s="789">
        <f>IF(Inputs!$C$8="Yes","N/A",Inputs!K24)</f>
        <v>0.85</v>
      </c>
      <c r="I36" s="790" t="str">
        <f>Inputs!M24</f>
        <v>N/A</v>
      </c>
    </row>
    <row r="37" spans="1:9" ht="19" thickTop="1" thickBot="1">
      <c r="A37" s="935"/>
      <c r="B37" s="917" t="s">
        <v>320</v>
      </c>
      <c r="C37" s="918"/>
      <c r="D37" s="791">
        <f>Inputs!F25</f>
        <v>0</v>
      </c>
      <c r="E37" s="792">
        <f>Inputs!G25</f>
        <v>0</v>
      </c>
      <c r="F37" s="793" t="str">
        <f>IF(Inputs!$C$8="Yes","No",Inputs!E25)</f>
        <v>No</v>
      </c>
      <c r="G37" s="793" t="str">
        <f>IF(Inputs!$C$8="Yes","N/A",Inputs!I25)</f>
        <v>N/A</v>
      </c>
      <c r="H37" s="794">
        <f>IF(Inputs!$C$8="Yes","N/A",Inputs!K25)</f>
        <v>0.85</v>
      </c>
      <c r="I37" s="795" t="str">
        <f>Inputs!M25</f>
        <v>N/A</v>
      </c>
    </row>
    <row r="38" spans="1:9" ht="18" thickBot="1">
      <c r="A38" s="912" t="s">
        <v>250</v>
      </c>
      <c r="B38" s="910" t="s">
        <v>321</v>
      </c>
      <c r="C38" s="911"/>
      <c r="D38" s="786">
        <f>Inputs!F26</f>
        <v>0</v>
      </c>
      <c r="E38" s="787">
        <f>Inputs!G26</f>
        <v>0</v>
      </c>
      <c r="F38" s="788" t="str">
        <f>Inputs!E26</f>
        <v>No</v>
      </c>
      <c r="G38" s="788" t="str">
        <f>Inputs!I26</f>
        <v>N/A</v>
      </c>
      <c r="H38" s="790">
        <f>Inputs!K26</f>
        <v>3.5</v>
      </c>
      <c r="I38" s="790" t="str">
        <f>Inputs!M26</f>
        <v>N/A</v>
      </c>
    </row>
    <row r="39" spans="1:9" ht="19" thickTop="1" thickBot="1">
      <c r="A39" s="922"/>
      <c r="B39" s="915" t="s">
        <v>322</v>
      </c>
      <c r="C39" s="916"/>
      <c r="D39" s="786">
        <f>Inputs!F27</f>
        <v>0</v>
      </c>
      <c r="E39" s="787">
        <f>Inputs!G27</f>
        <v>0</v>
      </c>
      <c r="F39" s="788" t="str">
        <f>Inputs!E27</f>
        <v>Yes</v>
      </c>
      <c r="G39" s="788">
        <f>Inputs!I27</f>
        <v>282</v>
      </c>
      <c r="H39" s="790">
        <f>Inputs!K27</f>
        <v>3.5</v>
      </c>
      <c r="I39" s="790" t="str">
        <f>Inputs!M27</f>
        <v>N/A</v>
      </c>
    </row>
    <row r="40" spans="1:9" ht="19" thickTop="1" thickBot="1">
      <c r="A40" s="922"/>
      <c r="B40" s="915" t="s">
        <v>323</v>
      </c>
      <c r="C40" s="916"/>
      <c r="D40" s="786">
        <f>Inputs!F28</f>
        <v>0</v>
      </c>
      <c r="E40" s="787">
        <f>Inputs!G28</f>
        <v>0</v>
      </c>
      <c r="F40" s="788" t="str">
        <f>Inputs!E28</f>
        <v>Yes</v>
      </c>
      <c r="G40" s="788">
        <f>Inputs!I28</f>
        <v>346</v>
      </c>
      <c r="H40" s="790">
        <f>Inputs!K28</f>
        <v>3.5</v>
      </c>
      <c r="I40" s="790" t="str">
        <f>Inputs!M28</f>
        <v>N/A</v>
      </c>
    </row>
    <row r="41" spans="1:9" ht="19" thickTop="1" thickBot="1">
      <c r="A41" s="923"/>
      <c r="B41" s="919" t="s">
        <v>329</v>
      </c>
      <c r="C41" s="918"/>
      <c r="D41" s="786">
        <f>Inputs!F29</f>
        <v>0</v>
      </c>
      <c r="E41" s="787">
        <f>Inputs!G29</f>
        <v>0</v>
      </c>
      <c r="F41" s="788" t="str">
        <f>Inputs!E29</f>
        <v>Yes</v>
      </c>
      <c r="G41" s="788">
        <f>Inputs!I29</f>
        <v>205</v>
      </c>
      <c r="H41" s="790">
        <f>Inputs!K29</f>
        <v>3.5</v>
      </c>
      <c r="I41" s="790" t="str">
        <f>Inputs!M29</f>
        <v>N/A</v>
      </c>
    </row>
    <row r="42" spans="1:9" ht="18" thickBot="1">
      <c r="A42" s="924" t="s">
        <v>423</v>
      </c>
      <c r="B42" s="920" t="s">
        <v>325</v>
      </c>
      <c r="C42" s="911"/>
      <c r="D42" s="781">
        <f>Inputs!F30</f>
        <v>0</v>
      </c>
      <c r="E42" s="782">
        <f>Inputs!G30</f>
        <v>0</v>
      </c>
      <c r="F42" s="783" t="str">
        <f>Inputs!E30</f>
        <v>No</v>
      </c>
      <c r="G42" s="783" t="str">
        <f>Inputs!I30</f>
        <v>N/A</v>
      </c>
      <c r="H42" s="785">
        <f>Inputs!K30</f>
        <v>3.5</v>
      </c>
      <c r="I42" s="785" t="str">
        <f>Inputs!M30</f>
        <v>N/A</v>
      </c>
    </row>
    <row r="43" spans="1:9" ht="19" thickTop="1" thickBot="1">
      <c r="A43" s="913"/>
      <c r="B43" s="921" t="s">
        <v>326</v>
      </c>
      <c r="C43" s="916"/>
      <c r="D43" s="786">
        <f>Inputs!F31</f>
        <v>0</v>
      </c>
      <c r="E43" s="787">
        <f>Inputs!G31</f>
        <v>0</v>
      </c>
      <c r="F43" s="788" t="str">
        <f>Inputs!E31</f>
        <v>No</v>
      </c>
      <c r="G43" s="788" t="str">
        <f>Inputs!I31</f>
        <v>N/A</v>
      </c>
      <c r="H43" s="790">
        <f>Inputs!K31</f>
        <v>3.5</v>
      </c>
      <c r="I43" s="790" t="str">
        <f>Inputs!M31</f>
        <v>N/A</v>
      </c>
    </row>
    <row r="44" spans="1:9" ht="19" thickTop="1" thickBot="1">
      <c r="A44" s="925"/>
      <c r="B44" s="919" t="s">
        <v>424</v>
      </c>
      <c r="C44" s="918"/>
      <c r="D44" s="791">
        <f>Inputs!F32</f>
        <v>0</v>
      </c>
      <c r="E44" s="792">
        <f>Inputs!G32</f>
        <v>0</v>
      </c>
      <c r="F44" s="793" t="str">
        <f>Inputs!E32</f>
        <v>No</v>
      </c>
      <c r="G44" s="793" t="str">
        <f>Inputs!I32</f>
        <v>N/A</v>
      </c>
      <c r="H44" s="795">
        <f>Inputs!K32</f>
        <v>3.5</v>
      </c>
      <c r="I44" s="795" t="str">
        <f>Inputs!M32</f>
        <v>N/A</v>
      </c>
    </row>
    <row r="45" spans="1:9" ht="18" thickBot="1">
      <c r="A45" s="912" t="s">
        <v>332</v>
      </c>
      <c r="B45" s="920" t="s">
        <v>327</v>
      </c>
      <c r="C45" s="963"/>
      <c r="D45" s="786">
        <f>Inputs!F33</f>
        <v>0</v>
      </c>
      <c r="E45" s="787">
        <f>Inputs!G33</f>
        <v>0</v>
      </c>
      <c r="F45" s="788" t="str">
        <f>Inputs!E33</f>
        <v>No</v>
      </c>
      <c r="G45" s="788" t="str">
        <f>Inputs!I33</f>
        <v>N/A</v>
      </c>
      <c r="H45" s="790">
        <f>Inputs!K33</f>
        <v>3.5</v>
      </c>
      <c r="I45" s="790" t="str">
        <f>Inputs!M33</f>
        <v>N/A</v>
      </c>
    </row>
    <row r="46" spans="1:9" ht="19" thickTop="1" thickBot="1">
      <c r="A46" s="913"/>
      <c r="B46" s="921" t="s">
        <v>330</v>
      </c>
      <c r="C46" s="964"/>
      <c r="D46" s="786">
        <f>Inputs!F34</f>
        <v>0</v>
      </c>
      <c r="E46" s="787">
        <f>Inputs!G34</f>
        <v>0</v>
      </c>
      <c r="F46" s="788" t="str">
        <f>Inputs!E34</f>
        <v>Yes</v>
      </c>
      <c r="G46" s="788">
        <f>Inputs!I34</f>
        <v>282</v>
      </c>
      <c r="H46" s="790">
        <f>Inputs!K34</f>
        <v>3.5</v>
      </c>
      <c r="I46" s="790" t="str">
        <f>Inputs!M34</f>
        <v>N/A</v>
      </c>
    </row>
    <row r="47" spans="1:9" ht="19" thickTop="1" thickBot="1">
      <c r="A47" s="914"/>
      <c r="B47" s="919" t="s">
        <v>331</v>
      </c>
      <c r="C47" s="962"/>
      <c r="D47" s="786">
        <f>Inputs!F35</f>
        <v>0</v>
      </c>
      <c r="E47" s="787">
        <f>Inputs!G35</f>
        <v>0</v>
      </c>
      <c r="F47" s="788" t="str">
        <f>Inputs!E35</f>
        <v>Yes</v>
      </c>
      <c r="G47" s="788">
        <f>Inputs!I35</f>
        <v>366</v>
      </c>
      <c r="H47" s="790">
        <f>Inputs!K35</f>
        <v>3.5</v>
      </c>
      <c r="I47" s="790" t="str">
        <f>Inputs!M35</f>
        <v>N/A</v>
      </c>
    </row>
    <row r="48" spans="1:9" ht="18" thickBot="1">
      <c r="A48" s="796"/>
      <c r="B48" s="959" t="s">
        <v>328</v>
      </c>
      <c r="C48" s="960"/>
      <c r="D48" s="797">
        <f>IF(Inputs!$C$8="Yes","N/A",Inputs!F36)</f>
        <v>100000</v>
      </c>
      <c r="E48" s="798">
        <f>Inputs!G36</f>
        <v>0</v>
      </c>
      <c r="F48" s="799" t="str">
        <f>IF(Inputs!$C$8="Yes","No",Inputs!E36)</f>
        <v>Yes</v>
      </c>
      <c r="G48" s="799">
        <f>IF(Inputs!$C$8="Yes","N/A",Inputs!I36)</f>
        <v>77</v>
      </c>
      <c r="H48" s="800">
        <f>IF(Inputs!$C$8="Yes","N/A",Inputs!K36)</f>
        <v>1</v>
      </c>
      <c r="I48" s="800" t="str">
        <f>Inputs!M36</f>
        <v>N/A</v>
      </c>
    </row>
  </sheetData>
  <sheetProtection password="CA29" sheet="1" objects="1" scenarios="1" selectLockedCells="1"/>
  <mergeCells count="66">
    <mergeCell ref="J1:J3"/>
    <mergeCell ref="A4:A6"/>
    <mergeCell ref="A7:A10"/>
    <mergeCell ref="A11:A13"/>
    <mergeCell ref="A14:A16"/>
    <mergeCell ref="I1:I3"/>
    <mergeCell ref="H1:H3"/>
    <mergeCell ref="D1:D3"/>
    <mergeCell ref="G1:G3"/>
    <mergeCell ref="E1:E3"/>
    <mergeCell ref="B10:C10"/>
    <mergeCell ref="B16:C16"/>
    <mergeCell ref="B5:C5"/>
    <mergeCell ref="B6:C6"/>
    <mergeCell ref="B7:C7"/>
    <mergeCell ref="B8:C8"/>
    <mergeCell ref="B48:C48"/>
    <mergeCell ref="A30:B30"/>
    <mergeCell ref="A31:B31"/>
    <mergeCell ref="A29:B29"/>
    <mergeCell ref="A28:B28"/>
    <mergeCell ref="B47:C47"/>
    <mergeCell ref="B45:C45"/>
    <mergeCell ref="B46:C46"/>
    <mergeCell ref="B17:C17"/>
    <mergeCell ref="F1:F3"/>
    <mergeCell ref="A35:A37"/>
    <mergeCell ref="A21:C21"/>
    <mergeCell ref="A27:B27"/>
    <mergeCell ref="A33:C33"/>
    <mergeCell ref="A34:C34"/>
    <mergeCell ref="A25:B25"/>
    <mergeCell ref="A24:B24"/>
    <mergeCell ref="A26:B26"/>
    <mergeCell ref="A23:B23"/>
    <mergeCell ref="A22:B22"/>
    <mergeCell ref="A1:C1"/>
    <mergeCell ref="A2:C2"/>
    <mergeCell ref="B3:C3"/>
    <mergeCell ref="B4:C4"/>
    <mergeCell ref="B9:C9"/>
    <mergeCell ref="B11:C11"/>
    <mergeCell ref="B12:C12"/>
    <mergeCell ref="B13:C13"/>
    <mergeCell ref="B14:C14"/>
    <mergeCell ref="B15:C15"/>
    <mergeCell ref="A20:C20"/>
    <mergeCell ref="B35:C35"/>
    <mergeCell ref="A45:A47"/>
    <mergeCell ref="D33:D34"/>
    <mergeCell ref="B36:C36"/>
    <mergeCell ref="B37:C37"/>
    <mergeCell ref="B38:C38"/>
    <mergeCell ref="B39:C39"/>
    <mergeCell ref="B40:C40"/>
    <mergeCell ref="B41:C41"/>
    <mergeCell ref="B42:C42"/>
    <mergeCell ref="B43:C43"/>
    <mergeCell ref="A38:A41"/>
    <mergeCell ref="A42:A44"/>
    <mergeCell ref="B44:C44"/>
    <mergeCell ref="E33:E34"/>
    <mergeCell ref="F33:F34"/>
    <mergeCell ref="G33:G34"/>
    <mergeCell ref="H33:H34"/>
    <mergeCell ref="I33:I34"/>
  </mergeCells>
  <phoneticPr fontId="25" type="noConversion"/>
  <dataValidations count="2">
    <dataValidation type="list" showInputMessage="1" showErrorMessage="1" errorTitle="Invalid Analysis Period" error="Please enter a valid analysis period from the drop-down list." sqref="A3">
      <formula1>Analysis_Period</formula1>
    </dataValidation>
    <dataValidation type="decimal" allowBlank="1" showInputMessage="1" showErrorMessage="1" sqref="E35:E48">
      <formula1>0</formula1>
      <formula2>1</formula2>
    </dataValidation>
  </dataValidations>
  <pageMargins left="0.29166666666666669" right="0.16666666666666666" top="0.15277777777777779" bottom="0.1388888888888889" header="2.7777777777777776E-2" footer="0"/>
  <pageSetup paperSize="9" orientation="landscape" horizontalDpi="4294967292" verticalDpi="429496729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A1:AZ63"/>
  <sheetViews>
    <sheetView topLeftCell="A28" workbookViewId="0">
      <selection activeCell="F46" sqref="F46"/>
    </sheetView>
  </sheetViews>
  <sheetFormatPr baseColWidth="10" defaultRowHeight="15" x14ac:dyDescent="0"/>
  <cols>
    <col min="2" max="2" width="3.5" customWidth="1"/>
    <col min="3" max="3" width="26" customWidth="1"/>
    <col min="4" max="13" width="10" customWidth="1"/>
    <col min="14" max="14" width="3.5" customWidth="1"/>
    <col min="15" max="15" width="26" customWidth="1"/>
    <col min="16" max="25" width="10" customWidth="1"/>
    <col min="26" max="26" width="3.5" customWidth="1"/>
    <col min="27" max="27" width="26" customWidth="1"/>
    <col min="28" max="37" width="10" customWidth="1"/>
    <col min="38" max="38" width="3.5" customWidth="1"/>
    <col min="39" max="39" width="26" customWidth="1"/>
    <col min="40" max="51" width="10" customWidth="1"/>
    <col min="52" max="52" width="35" customWidth="1"/>
  </cols>
  <sheetData>
    <row r="1" spans="1:13" s="647" customFormat="1" ht="15" customHeight="1" thickTop="1" thickBot="1">
      <c r="A1" s="715" t="s">
        <v>447</v>
      </c>
      <c r="B1" s="561"/>
      <c r="M1" s="138"/>
    </row>
    <row r="2" spans="1:13" s="647" customFormat="1" ht="15" customHeight="1">
      <c r="A2" s="716" t="s">
        <v>448</v>
      </c>
    </row>
    <row r="3" spans="1:13" s="647" customFormat="1" ht="15" customHeight="1" thickBot="1">
      <c r="A3" s="717" t="s">
        <v>449</v>
      </c>
      <c r="B3" s="561"/>
      <c r="C3" s="138"/>
      <c r="D3" s="138"/>
      <c r="E3" s="138"/>
      <c r="F3" s="138"/>
      <c r="G3" s="138"/>
      <c r="H3" s="138"/>
      <c r="I3" s="138"/>
      <c r="J3" s="138"/>
    </row>
    <row r="4" spans="1:13" ht="15" customHeight="1" thickTop="1"/>
    <row r="34" spans="1:52" ht="16" thickBot="1"/>
    <row r="35" spans="1:52" ht="16" thickTop="1">
      <c r="A35" s="1011" t="s">
        <v>312</v>
      </c>
    </row>
    <row r="36" spans="1:52">
      <c r="A36" s="1012"/>
    </row>
    <row r="37" spans="1:52">
      <c r="A37" s="1012"/>
    </row>
    <row r="38" spans="1:52">
      <c r="A38" s="1012"/>
    </row>
    <row r="39" spans="1:52">
      <c r="A39" s="1012"/>
    </row>
    <row r="40" spans="1:52">
      <c r="A40" s="1012"/>
    </row>
    <row r="41" spans="1:52">
      <c r="A41" s="1012"/>
    </row>
    <row r="42" spans="1:52" ht="16" thickBot="1">
      <c r="A42" s="1013"/>
      <c r="D42" s="349"/>
      <c r="E42" s="350"/>
    </row>
    <row r="43" spans="1:52" ht="24" customHeight="1" thickTop="1" thickBot="1">
      <c r="B43" s="985"/>
      <c r="C43" s="353"/>
      <c r="D43" s="1001" t="s">
        <v>92</v>
      </c>
      <c r="E43" s="1002"/>
      <c r="F43" s="1002"/>
      <c r="G43" s="1002"/>
      <c r="H43" s="1002"/>
      <c r="I43" s="1003"/>
      <c r="J43" s="1003"/>
      <c r="K43" s="1003"/>
      <c r="L43" s="1003"/>
      <c r="M43" s="1004"/>
      <c r="N43" s="985"/>
      <c r="O43" s="353"/>
      <c r="P43" s="1005" t="s">
        <v>91</v>
      </c>
      <c r="Q43" s="1006"/>
      <c r="R43" s="1006"/>
      <c r="S43" s="1006"/>
      <c r="T43" s="1006"/>
      <c r="U43" s="1007"/>
      <c r="V43" s="1007"/>
      <c r="W43" s="1007"/>
      <c r="X43" s="1003"/>
      <c r="Y43" s="1004"/>
      <c r="Z43" s="985"/>
      <c r="AA43" s="353"/>
      <c r="AB43" s="981" t="s">
        <v>98</v>
      </c>
      <c r="AC43" s="982"/>
      <c r="AD43" s="982"/>
      <c r="AE43" s="982"/>
      <c r="AF43" s="982"/>
      <c r="AG43" s="983"/>
      <c r="AH43" s="983"/>
      <c r="AI43" s="983"/>
      <c r="AJ43" s="983"/>
      <c r="AK43" s="984"/>
      <c r="AL43" s="985"/>
      <c r="AM43" s="353"/>
      <c r="AN43" s="987" t="s">
        <v>307</v>
      </c>
      <c r="AO43" s="988"/>
      <c r="AP43" s="989"/>
      <c r="AQ43" s="992" t="s">
        <v>305</v>
      </c>
      <c r="AR43" s="993"/>
      <c r="AS43" s="994"/>
      <c r="AT43" s="998" t="s">
        <v>309</v>
      </c>
      <c r="AU43" s="999"/>
      <c r="AV43" s="1000"/>
      <c r="AW43" s="992" t="s">
        <v>306</v>
      </c>
      <c r="AX43" s="993"/>
      <c r="AY43" s="994"/>
      <c r="AZ43" s="979" t="s">
        <v>39</v>
      </c>
    </row>
    <row r="44" spans="1:52" ht="94" thickTop="1" thickBot="1">
      <c r="A44" s="487" t="s">
        <v>446</v>
      </c>
      <c r="B44" s="986"/>
      <c r="C44" s="385" t="s">
        <v>39</v>
      </c>
      <c r="D44" s="318" t="s">
        <v>297</v>
      </c>
      <c r="E44" s="348" t="s">
        <v>291</v>
      </c>
      <c r="F44" s="318" t="s">
        <v>298</v>
      </c>
      <c r="G44" s="348" t="s">
        <v>293</v>
      </c>
      <c r="H44" s="318" t="s">
        <v>300</v>
      </c>
      <c r="I44" s="319" t="s">
        <v>301</v>
      </c>
      <c r="J44" s="318" t="s">
        <v>299</v>
      </c>
      <c r="K44" s="348" t="s">
        <v>90</v>
      </c>
      <c r="L44" s="318" t="s">
        <v>302</v>
      </c>
      <c r="M44" s="348" t="s">
        <v>303</v>
      </c>
      <c r="N44" s="986"/>
      <c r="O44" s="385" t="s">
        <v>39</v>
      </c>
      <c r="P44" s="298" t="s">
        <v>284</v>
      </c>
      <c r="Q44" s="299" t="s">
        <v>291</v>
      </c>
      <c r="R44" s="298" t="s">
        <v>292</v>
      </c>
      <c r="S44" s="299" t="s">
        <v>293</v>
      </c>
      <c r="T44" s="320" t="s">
        <v>294</v>
      </c>
      <c r="U44" s="321" t="s">
        <v>295</v>
      </c>
      <c r="V44" s="298" t="s">
        <v>296</v>
      </c>
      <c r="W44" s="299" t="s">
        <v>90</v>
      </c>
      <c r="X44" s="320" t="s">
        <v>302</v>
      </c>
      <c r="Y44" s="355" t="s">
        <v>303</v>
      </c>
      <c r="Z44" s="986"/>
      <c r="AA44" s="385" t="s">
        <v>39</v>
      </c>
      <c r="AB44" s="296" t="s">
        <v>284</v>
      </c>
      <c r="AC44" s="297" t="s">
        <v>291</v>
      </c>
      <c r="AD44" s="296" t="s">
        <v>292</v>
      </c>
      <c r="AE44" s="297" t="s">
        <v>293</v>
      </c>
      <c r="AF44" s="327" t="s">
        <v>294</v>
      </c>
      <c r="AG44" s="328" t="s">
        <v>295</v>
      </c>
      <c r="AH44" s="296" t="s">
        <v>296</v>
      </c>
      <c r="AI44" s="297" t="s">
        <v>90</v>
      </c>
      <c r="AJ44" s="327" t="s">
        <v>302</v>
      </c>
      <c r="AK44" s="369" t="s">
        <v>303</v>
      </c>
      <c r="AL44" s="986"/>
      <c r="AM44" s="385" t="s">
        <v>39</v>
      </c>
      <c r="AN44" s="296">
        <v>15</v>
      </c>
      <c r="AO44" s="396">
        <v>20</v>
      </c>
      <c r="AP44" s="297">
        <v>25</v>
      </c>
      <c r="AQ44" s="400">
        <v>15</v>
      </c>
      <c r="AR44" s="401">
        <v>20</v>
      </c>
      <c r="AS44" s="402">
        <v>25</v>
      </c>
      <c r="AT44" s="296">
        <v>15</v>
      </c>
      <c r="AU44" s="396">
        <v>20</v>
      </c>
      <c r="AV44" s="297">
        <v>25</v>
      </c>
      <c r="AW44" s="400">
        <v>15</v>
      </c>
      <c r="AX44" s="401">
        <v>20</v>
      </c>
      <c r="AY44" s="402">
        <v>25</v>
      </c>
      <c r="AZ44" s="980"/>
    </row>
    <row r="45" spans="1:52" ht="35" customHeight="1" thickTop="1" thickBot="1">
      <c r="A45" s="488" t="e">
        <f>IF(Results!$A$3=25,'NPV Summary'!D45,IF(Results!$A$3=20,'NPV Summary'!P45,'NPV Summary'!AB45))</f>
        <v>#VALUE!</v>
      </c>
      <c r="B45" s="990" t="s">
        <v>249</v>
      </c>
      <c r="C45" s="125" t="s">
        <v>333</v>
      </c>
      <c r="D45" s="301" t="e">
        <f>'NPV Analysis'!D42</f>
        <v>#VALUE!</v>
      </c>
      <c r="E45" s="336" t="e">
        <f>'NPV Analysis'!D43</f>
        <v>#VALUE!</v>
      </c>
      <c r="F45" s="316" t="e">
        <f>G45/'NPV Analysis'!$B$4</f>
        <v>#VALUE!</v>
      </c>
      <c r="G45" s="336" t="e">
        <f>'NPV Analysis'!D44</f>
        <v>#VALUE!</v>
      </c>
      <c r="H45" s="316" t="e">
        <f>I45/'NPV Analysis'!$B$4</f>
        <v>#VALUE!</v>
      </c>
      <c r="I45" s="343" t="e">
        <f>'NPV Analysis'!D45</f>
        <v>#VALUE!</v>
      </c>
      <c r="J45" s="316" t="e">
        <f>K45/'NPV Analysis'!$B$4</f>
        <v>#VALUE!</v>
      </c>
      <c r="K45" s="336" t="e">
        <f>'NPV Analysis'!D46</f>
        <v>#VALUE!</v>
      </c>
      <c r="L45" s="490" t="e">
        <f>M45/'NPV Analysis'!$B$4</f>
        <v>#VALUE!</v>
      </c>
      <c r="M45" s="498" t="e">
        <f>'NPV Analysis'!D47*-1</f>
        <v>#VALUE!</v>
      </c>
      <c r="N45" s="990" t="s">
        <v>249</v>
      </c>
      <c r="O45" s="554" t="s">
        <v>318</v>
      </c>
      <c r="P45" s="300" t="e">
        <f>'NPV Analysis'!C42</f>
        <v>#VALUE!</v>
      </c>
      <c r="Q45" s="360" t="e">
        <f>'NPV Analysis'!C43</f>
        <v>#VALUE!</v>
      </c>
      <c r="R45" s="325" t="e">
        <f>S45/'NPV Analysis'!$B$4</f>
        <v>#VALUE!</v>
      </c>
      <c r="S45" s="360" t="e">
        <f>'NPV Analysis'!C44</f>
        <v>#VALUE!</v>
      </c>
      <c r="T45" s="325" t="e">
        <f>U45/'NPV Analysis'!$B$4</f>
        <v>#VALUE!</v>
      </c>
      <c r="U45" s="361" t="e">
        <f>'NPV Analysis'!C45</f>
        <v>#VALUE!</v>
      </c>
      <c r="V45" s="325" t="e">
        <f>W45/'NPV Analysis'!$B$4</f>
        <v>#VALUE!</v>
      </c>
      <c r="W45" s="360" t="e">
        <f>'NPV Analysis'!C46</f>
        <v>#VALUE!</v>
      </c>
      <c r="X45" s="506" t="e">
        <f>Y45/'NPV Analysis'!$B$4</f>
        <v>#VALUE!</v>
      </c>
      <c r="Y45" s="514" t="e">
        <f>'NPV Analysis'!C47*-1</f>
        <v>#VALUE!</v>
      </c>
      <c r="Z45" s="990" t="s">
        <v>249</v>
      </c>
      <c r="AA45" s="554" t="s">
        <v>318</v>
      </c>
      <c r="AB45" s="332" t="e">
        <f>'NPV Analysis'!B42</f>
        <v>#VALUE!</v>
      </c>
      <c r="AC45" s="377" t="e">
        <f>'NPV Analysis'!B43</f>
        <v>#VALUE!</v>
      </c>
      <c r="AD45" s="332" t="e">
        <f>AE45/'NPV Analysis'!$B$4</f>
        <v>#VALUE!</v>
      </c>
      <c r="AE45" s="377" t="e">
        <f>'NPV Analysis'!B44</f>
        <v>#VALUE!</v>
      </c>
      <c r="AF45" s="332" t="e">
        <f>AG45/'NPV Analysis'!$B$4</f>
        <v>#VALUE!</v>
      </c>
      <c r="AG45" s="378" t="e">
        <f>'NPV Analysis'!B45</f>
        <v>#VALUE!</v>
      </c>
      <c r="AH45" s="332" t="e">
        <f>AI45/'NPV Analysis'!$B$4</f>
        <v>#VALUE!</v>
      </c>
      <c r="AI45" s="377" t="e">
        <f>'NPV Analysis'!B46</f>
        <v>#VALUE!</v>
      </c>
      <c r="AJ45" s="522" t="e">
        <f>AK45/'NPV Analysis'!$B$4</f>
        <v>#VALUE!</v>
      </c>
      <c r="AK45" s="530" t="e">
        <f>'NPV Analysis'!B47*-1</f>
        <v>#VALUE!</v>
      </c>
      <c r="AL45" s="990" t="s">
        <v>249</v>
      </c>
      <c r="AM45" s="554" t="s">
        <v>318</v>
      </c>
      <c r="AN45" s="386" t="e">
        <f t="shared" ref="AN45:AN58" si="0">AB45</f>
        <v>#VALUE!</v>
      </c>
      <c r="AO45" s="387" t="e">
        <f t="shared" ref="AO45:AO58" si="1">P45</f>
        <v>#VALUE!</v>
      </c>
      <c r="AP45" s="370" t="e">
        <f t="shared" ref="AP45:AP58" si="2">D45</f>
        <v>#VALUE!</v>
      </c>
      <c r="AQ45" s="403" t="e">
        <f t="shared" ref="AQ45:AQ58" si="3">AD45</f>
        <v>#VALUE!</v>
      </c>
      <c r="AR45" s="404" t="e">
        <f t="shared" ref="AR45:AR58" si="4">R45</f>
        <v>#VALUE!</v>
      </c>
      <c r="AS45" s="405" t="e">
        <f t="shared" ref="AS45:AS58" si="5">F45</f>
        <v>#VALUE!</v>
      </c>
      <c r="AT45" s="386" t="e">
        <f t="shared" ref="AT45:AT58" si="6">AF45</f>
        <v>#VALUE!</v>
      </c>
      <c r="AU45" s="387" t="e">
        <f t="shared" ref="AU45:AU58" si="7">T45</f>
        <v>#VALUE!</v>
      </c>
      <c r="AV45" s="370" t="e">
        <f t="shared" ref="AV45:AV58" si="8">H45</f>
        <v>#VALUE!</v>
      </c>
      <c r="AW45" s="403" t="e">
        <f t="shared" ref="AW45:AW58" si="9">AH45</f>
        <v>#VALUE!</v>
      </c>
      <c r="AX45" s="404" t="e">
        <f t="shared" ref="AX45:AX58" si="10">V45</f>
        <v>#VALUE!</v>
      </c>
      <c r="AY45" s="405" t="e">
        <f t="shared" ref="AY45:AY58" si="11">J45</f>
        <v>#VALUE!</v>
      </c>
      <c r="AZ45" s="470" t="s">
        <v>318</v>
      </c>
    </row>
    <row r="46" spans="1:52" ht="35" customHeight="1" thickTop="1" thickBot="1">
      <c r="A46" s="488" t="e">
        <f>IF(Results!$A$3=25,'NPV Summary'!D46,IF(Results!$A$3=20,'NPV Summary'!P46,'NPV Summary'!AB46))</f>
        <v>#VALUE!</v>
      </c>
      <c r="B46" s="990"/>
      <c r="C46" s="124" t="s">
        <v>334</v>
      </c>
      <c r="D46" s="334" t="e">
        <f>'NPV Analysis'!D81</f>
        <v>#VALUE!</v>
      </c>
      <c r="E46" s="335" t="e">
        <f>'NPV Analysis'!D82</f>
        <v>#VALUE!</v>
      </c>
      <c r="F46" s="313" t="e">
        <f>G46/'NPV Analysis'!$B$4</f>
        <v>#VALUE!</v>
      </c>
      <c r="G46" s="335" t="e">
        <f>'NPV Analysis'!D83</f>
        <v>#VALUE!</v>
      </c>
      <c r="H46" s="313" t="e">
        <f>I46/'NPV Analysis'!$B$4</f>
        <v>#VALUE!</v>
      </c>
      <c r="I46" s="344" t="e">
        <f>'NPV Analysis'!D84</f>
        <v>#VALUE!</v>
      </c>
      <c r="J46" s="313" t="e">
        <f>K46/'NPV Analysis'!$B$4</f>
        <v>#VALUE!</v>
      </c>
      <c r="K46" s="335" t="e">
        <f>'NPV Analysis'!D85</f>
        <v>#VALUE!</v>
      </c>
      <c r="L46" s="491" t="e">
        <f>M46/'NPV Analysis'!$B$4</f>
        <v>#VALUE!</v>
      </c>
      <c r="M46" s="499" t="e">
        <f>'NPV Analysis'!D86*-1</f>
        <v>#VALUE!</v>
      </c>
      <c r="N46" s="990"/>
      <c r="O46" s="555" t="s">
        <v>319</v>
      </c>
      <c r="P46" s="354" t="e">
        <f>'NPV Analysis'!C81</f>
        <v>#VALUE!</v>
      </c>
      <c r="Q46" s="362" t="e">
        <f>'NPV Analysis'!C82</f>
        <v>#VALUE!</v>
      </c>
      <c r="R46" s="322" t="e">
        <f>S46/'NPV Analysis'!$B$4</f>
        <v>#VALUE!</v>
      </c>
      <c r="S46" s="362" t="e">
        <f>'NPV Analysis'!C83</f>
        <v>#VALUE!</v>
      </c>
      <c r="T46" s="322" t="e">
        <f>U46/'NPV Analysis'!$B$4</f>
        <v>#VALUE!</v>
      </c>
      <c r="U46" s="363" t="e">
        <f>'NPV Analysis'!C84</f>
        <v>#VALUE!</v>
      </c>
      <c r="V46" s="322" t="e">
        <f>W46/'NPV Analysis'!$B$4</f>
        <v>#VALUE!</v>
      </c>
      <c r="W46" s="362" t="e">
        <f>'NPV Analysis'!C85</f>
        <v>#VALUE!</v>
      </c>
      <c r="X46" s="507" t="e">
        <f>Y46/'NPV Analysis'!$B$4</f>
        <v>#VALUE!</v>
      </c>
      <c r="Y46" s="515" t="e">
        <f>'NPV Analysis'!C86*-1</f>
        <v>#VALUE!</v>
      </c>
      <c r="Z46" s="990"/>
      <c r="AA46" s="555" t="s">
        <v>319</v>
      </c>
      <c r="AB46" s="329" t="e">
        <f>'NPV Analysis'!B81</f>
        <v>#VALUE!</v>
      </c>
      <c r="AC46" s="379" t="e">
        <f>'NPV Analysis'!B82</f>
        <v>#VALUE!</v>
      </c>
      <c r="AD46" s="329" t="e">
        <f>AE46/'NPV Analysis'!$B$4</f>
        <v>#VALUE!</v>
      </c>
      <c r="AE46" s="379" t="e">
        <f>'NPV Analysis'!B83</f>
        <v>#VALUE!</v>
      </c>
      <c r="AF46" s="329" t="e">
        <f>AG46/'NPV Analysis'!$B$4</f>
        <v>#VALUE!</v>
      </c>
      <c r="AG46" s="380" t="e">
        <f>'NPV Analysis'!B84</f>
        <v>#VALUE!</v>
      </c>
      <c r="AH46" s="329" t="e">
        <f>AI46/'NPV Analysis'!$B$4</f>
        <v>#VALUE!</v>
      </c>
      <c r="AI46" s="379" t="e">
        <f>'NPV Analysis'!B85</f>
        <v>#VALUE!</v>
      </c>
      <c r="AJ46" s="523" t="e">
        <f>AK46/'NPV Analysis'!$B$4</f>
        <v>#VALUE!</v>
      </c>
      <c r="AK46" s="531" t="e">
        <f>'NPV Analysis'!B86*-1</f>
        <v>#VALUE!</v>
      </c>
      <c r="AL46" s="990"/>
      <c r="AM46" s="555" t="s">
        <v>319</v>
      </c>
      <c r="AN46" s="388" t="e">
        <f t="shared" si="0"/>
        <v>#VALUE!</v>
      </c>
      <c r="AO46" s="389" t="e">
        <f t="shared" si="1"/>
        <v>#VALUE!</v>
      </c>
      <c r="AP46" s="371" t="e">
        <f t="shared" si="2"/>
        <v>#VALUE!</v>
      </c>
      <c r="AQ46" s="406" t="e">
        <f t="shared" si="3"/>
        <v>#VALUE!</v>
      </c>
      <c r="AR46" s="407" t="e">
        <f t="shared" si="4"/>
        <v>#VALUE!</v>
      </c>
      <c r="AS46" s="408" t="e">
        <f t="shared" si="5"/>
        <v>#VALUE!</v>
      </c>
      <c r="AT46" s="388" t="e">
        <f t="shared" si="6"/>
        <v>#VALUE!</v>
      </c>
      <c r="AU46" s="389" t="e">
        <f t="shared" si="7"/>
        <v>#VALUE!</v>
      </c>
      <c r="AV46" s="371" t="e">
        <f t="shared" si="8"/>
        <v>#VALUE!</v>
      </c>
      <c r="AW46" s="406" t="e">
        <f t="shared" si="9"/>
        <v>#VALUE!</v>
      </c>
      <c r="AX46" s="407" t="e">
        <f t="shared" si="10"/>
        <v>#VALUE!</v>
      </c>
      <c r="AY46" s="408" t="e">
        <f t="shared" si="11"/>
        <v>#VALUE!</v>
      </c>
      <c r="AZ46" s="471" t="s">
        <v>319</v>
      </c>
    </row>
    <row r="47" spans="1:52" ht="35" customHeight="1" thickTop="1" thickBot="1">
      <c r="A47" s="488" t="e">
        <f>IF(Results!$A$3=25,'NPV Summary'!D47,IF(Results!$A$3=20,'NPV Summary'!P47,'NPV Summary'!AB47))</f>
        <v>#VALUE!</v>
      </c>
      <c r="B47" s="990"/>
      <c r="C47" s="126" t="s">
        <v>335</v>
      </c>
      <c r="D47" s="341" t="e">
        <f>'NPV Analysis'!D120</f>
        <v>#VALUE!</v>
      </c>
      <c r="E47" s="338" t="e">
        <f>'NPV Analysis'!D121</f>
        <v>#VALUE!</v>
      </c>
      <c r="F47" s="315" t="e">
        <f>G47/'NPV Analysis'!$B$4</f>
        <v>#VALUE!</v>
      </c>
      <c r="G47" s="338" t="e">
        <f>'NPV Analysis'!D122</f>
        <v>#VALUE!</v>
      </c>
      <c r="H47" s="315" t="e">
        <f>I47/'NPV Analysis'!$B$4</f>
        <v>#VALUE!</v>
      </c>
      <c r="I47" s="342" t="e">
        <f>'NPV Analysis'!D123</f>
        <v>#VALUE!</v>
      </c>
      <c r="J47" s="315" t="e">
        <f>K47/'NPV Analysis'!$B$4</f>
        <v>#VALUE!</v>
      </c>
      <c r="K47" s="338" t="e">
        <f>'NPV Analysis'!D124</f>
        <v>#VALUE!</v>
      </c>
      <c r="L47" s="493" t="e">
        <f>M47/'NPV Analysis'!$B$4</f>
        <v>#VALUE!</v>
      </c>
      <c r="M47" s="501" t="e">
        <f>'NPV Analysis'!D125*-1</f>
        <v>#VALUE!</v>
      </c>
      <c r="N47" s="990"/>
      <c r="O47" s="556" t="s">
        <v>320</v>
      </c>
      <c r="P47" s="357" t="e">
        <f>'NPV Analysis'!C120</f>
        <v>#VALUE!</v>
      </c>
      <c r="Q47" s="358" t="e">
        <f>'NPV Analysis'!C121</f>
        <v>#VALUE!</v>
      </c>
      <c r="R47" s="324" t="e">
        <f>S47/'NPV Analysis'!$B$4</f>
        <v>#VALUE!</v>
      </c>
      <c r="S47" s="358" t="e">
        <f>'NPV Analysis'!C122</f>
        <v>#VALUE!</v>
      </c>
      <c r="T47" s="324" t="e">
        <f>U47/'NPV Analysis'!$B$4</f>
        <v>#VALUE!</v>
      </c>
      <c r="U47" s="359" t="e">
        <f>'NPV Analysis'!C123</f>
        <v>#VALUE!</v>
      </c>
      <c r="V47" s="324" t="e">
        <f>W47/'NPV Analysis'!$B$4</f>
        <v>#VALUE!</v>
      </c>
      <c r="W47" s="358" t="e">
        <f>'NPV Analysis'!C124</f>
        <v>#VALUE!</v>
      </c>
      <c r="X47" s="509" t="e">
        <f>Y47/'NPV Analysis'!$B$4</f>
        <v>#VALUE!</v>
      </c>
      <c r="Y47" s="517" t="e">
        <f>'NPV Analysis'!C125*-1</f>
        <v>#VALUE!</v>
      </c>
      <c r="Z47" s="990"/>
      <c r="AA47" s="556" t="s">
        <v>320</v>
      </c>
      <c r="AB47" s="331" t="e">
        <f>'NPV Analysis'!B120</f>
        <v>#VALUE!</v>
      </c>
      <c r="AC47" s="375" t="e">
        <f>'NPV Analysis'!B121</f>
        <v>#VALUE!</v>
      </c>
      <c r="AD47" s="331" t="e">
        <f>AE47/'NPV Analysis'!$B$4</f>
        <v>#VALUE!</v>
      </c>
      <c r="AE47" s="375" t="e">
        <f>'NPV Analysis'!B122</f>
        <v>#VALUE!</v>
      </c>
      <c r="AF47" s="331" t="e">
        <f>AG47/'NPV Analysis'!$B$4</f>
        <v>#VALUE!</v>
      </c>
      <c r="AG47" s="376" t="e">
        <f>'NPV Analysis'!B123</f>
        <v>#VALUE!</v>
      </c>
      <c r="AH47" s="331" t="e">
        <f>AI47/'NPV Analysis'!$B$4</f>
        <v>#VALUE!</v>
      </c>
      <c r="AI47" s="375" t="e">
        <f>'NPV Analysis'!B124</f>
        <v>#VALUE!</v>
      </c>
      <c r="AJ47" s="525" t="e">
        <f>AK47/'NPV Analysis'!$B$4</f>
        <v>#VALUE!</v>
      </c>
      <c r="AK47" s="533" t="e">
        <f>'NPV Analysis'!B125*-1</f>
        <v>#VALUE!</v>
      </c>
      <c r="AL47" s="990"/>
      <c r="AM47" s="556" t="s">
        <v>320</v>
      </c>
      <c r="AN47" s="392" t="e">
        <f t="shared" si="0"/>
        <v>#VALUE!</v>
      </c>
      <c r="AO47" s="393" t="e">
        <f t="shared" si="1"/>
        <v>#VALUE!</v>
      </c>
      <c r="AP47" s="373" t="e">
        <f t="shared" si="2"/>
        <v>#VALUE!</v>
      </c>
      <c r="AQ47" s="412" t="e">
        <f t="shared" si="3"/>
        <v>#VALUE!</v>
      </c>
      <c r="AR47" s="413" t="e">
        <f t="shared" si="4"/>
        <v>#VALUE!</v>
      </c>
      <c r="AS47" s="414" t="e">
        <f t="shared" si="5"/>
        <v>#VALUE!</v>
      </c>
      <c r="AT47" s="392" t="e">
        <f t="shared" si="6"/>
        <v>#VALUE!</v>
      </c>
      <c r="AU47" s="393" t="e">
        <f t="shared" si="7"/>
        <v>#VALUE!</v>
      </c>
      <c r="AV47" s="373" t="e">
        <f t="shared" si="8"/>
        <v>#VALUE!</v>
      </c>
      <c r="AW47" s="412" t="e">
        <f t="shared" si="9"/>
        <v>#VALUE!</v>
      </c>
      <c r="AX47" s="413" t="e">
        <f t="shared" si="10"/>
        <v>#VALUE!</v>
      </c>
      <c r="AY47" s="414" t="e">
        <f t="shared" si="11"/>
        <v>#VALUE!</v>
      </c>
      <c r="AZ47" s="473" t="s">
        <v>320</v>
      </c>
    </row>
    <row r="48" spans="1:52" ht="45" customHeight="1" thickTop="1" thickBot="1">
      <c r="A48" s="488" t="e">
        <f>IF(Results!$A$3=25,'NPV Summary'!D48,IF(Results!$A$3=20,'NPV Summary'!P48,'NPV Summary'!AB48))</f>
        <v>#VALUE!</v>
      </c>
      <c r="B48" s="1008" t="s">
        <v>250</v>
      </c>
      <c r="C48" s="125" t="s">
        <v>336</v>
      </c>
      <c r="D48" s="301" t="e">
        <f>'NPV Analysis'!D163</f>
        <v>#VALUE!</v>
      </c>
      <c r="E48" s="336" t="e">
        <f>'NPV Analysis'!D164</f>
        <v>#VALUE!</v>
      </c>
      <c r="F48" s="316" t="e">
        <f>G48/'NPV Analysis'!$B$4</f>
        <v>#VALUE!</v>
      </c>
      <c r="G48" s="336" t="e">
        <f>'NPV Analysis'!D165</f>
        <v>#VALUE!</v>
      </c>
      <c r="H48" s="316" t="e">
        <f>I48/'NPV Analysis'!$B$4</f>
        <v>#VALUE!</v>
      </c>
      <c r="I48" s="343" t="e">
        <f>'NPV Analysis'!D166</f>
        <v>#VALUE!</v>
      </c>
      <c r="J48" s="316" t="e">
        <f>K48/'NPV Analysis'!$B$4</f>
        <v>#VALUE!</v>
      </c>
      <c r="K48" s="336" t="e">
        <f>'NPV Analysis'!D167</f>
        <v>#VALUE!</v>
      </c>
      <c r="L48" s="490" t="e">
        <f>M48/'NPV Analysis'!$B$4</f>
        <v>#VALUE!</v>
      </c>
      <c r="M48" s="498" t="e">
        <f>'NPV Analysis'!D168*-1</f>
        <v>#VALUE!</v>
      </c>
      <c r="N48" s="1008" t="s">
        <v>250</v>
      </c>
      <c r="O48" s="554" t="s">
        <v>321</v>
      </c>
      <c r="P48" s="300" t="e">
        <f>'NPV Analysis'!C163</f>
        <v>#VALUE!</v>
      </c>
      <c r="Q48" s="360" t="e">
        <f>'NPV Analysis'!C164</f>
        <v>#VALUE!</v>
      </c>
      <c r="R48" s="325" t="e">
        <f>S48/'NPV Analysis'!$B$4</f>
        <v>#VALUE!</v>
      </c>
      <c r="S48" s="360" t="e">
        <f>'NPV Analysis'!C165</f>
        <v>#VALUE!</v>
      </c>
      <c r="T48" s="325" t="e">
        <f>U48/'NPV Analysis'!$B$4</f>
        <v>#VALUE!</v>
      </c>
      <c r="U48" s="361" t="e">
        <f>'NPV Analysis'!C166</f>
        <v>#VALUE!</v>
      </c>
      <c r="V48" s="325" t="e">
        <f>W48/'NPV Analysis'!$B$4</f>
        <v>#VALUE!</v>
      </c>
      <c r="W48" s="360" t="e">
        <f>'NPV Analysis'!C167</f>
        <v>#VALUE!</v>
      </c>
      <c r="X48" s="506" t="e">
        <f>Y48/'NPV Analysis'!$B$4</f>
        <v>#VALUE!</v>
      </c>
      <c r="Y48" s="514" t="e">
        <f>'NPV Analysis'!C168*-1</f>
        <v>#VALUE!</v>
      </c>
      <c r="Z48" s="1008" t="s">
        <v>250</v>
      </c>
      <c r="AA48" s="554" t="s">
        <v>321</v>
      </c>
      <c r="AB48" s="332" t="e">
        <f>'NPV Analysis'!B163</f>
        <v>#VALUE!</v>
      </c>
      <c r="AC48" s="377" t="e">
        <f>'NPV Analysis'!B164</f>
        <v>#VALUE!</v>
      </c>
      <c r="AD48" s="332" t="e">
        <f>AE48/'NPV Analysis'!$B$4</f>
        <v>#VALUE!</v>
      </c>
      <c r="AE48" s="377" t="e">
        <f>'NPV Analysis'!B165</f>
        <v>#VALUE!</v>
      </c>
      <c r="AF48" s="332" t="e">
        <f>AG48/'NPV Analysis'!$B$4</f>
        <v>#VALUE!</v>
      </c>
      <c r="AG48" s="378" t="e">
        <f>'NPV Analysis'!B166</f>
        <v>#VALUE!</v>
      </c>
      <c r="AH48" s="332" t="e">
        <f>AI48/'NPV Analysis'!$B$4</f>
        <v>#VALUE!</v>
      </c>
      <c r="AI48" s="377" t="e">
        <f>'NPV Analysis'!B167</f>
        <v>#VALUE!</v>
      </c>
      <c r="AJ48" s="522" t="e">
        <f>AK48/'NPV Analysis'!$B$4</f>
        <v>#VALUE!</v>
      </c>
      <c r="AK48" s="530" t="e">
        <f>'NPV Analysis'!B168*-1</f>
        <v>#VALUE!</v>
      </c>
      <c r="AL48" s="1008" t="s">
        <v>250</v>
      </c>
      <c r="AM48" s="554" t="s">
        <v>321</v>
      </c>
      <c r="AN48" s="386" t="e">
        <f t="shared" si="0"/>
        <v>#VALUE!</v>
      </c>
      <c r="AO48" s="387" t="e">
        <f t="shared" si="1"/>
        <v>#VALUE!</v>
      </c>
      <c r="AP48" s="370" t="e">
        <f t="shared" si="2"/>
        <v>#VALUE!</v>
      </c>
      <c r="AQ48" s="403" t="e">
        <f t="shared" si="3"/>
        <v>#VALUE!</v>
      </c>
      <c r="AR48" s="404" t="e">
        <f t="shared" si="4"/>
        <v>#VALUE!</v>
      </c>
      <c r="AS48" s="405" t="e">
        <f t="shared" si="5"/>
        <v>#VALUE!</v>
      </c>
      <c r="AT48" s="386" t="e">
        <f t="shared" si="6"/>
        <v>#VALUE!</v>
      </c>
      <c r="AU48" s="387" t="e">
        <f t="shared" si="7"/>
        <v>#VALUE!</v>
      </c>
      <c r="AV48" s="370" t="e">
        <f t="shared" si="8"/>
        <v>#VALUE!</v>
      </c>
      <c r="AW48" s="403" t="e">
        <f t="shared" si="9"/>
        <v>#VALUE!</v>
      </c>
      <c r="AX48" s="404" t="e">
        <f t="shared" si="10"/>
        <v>#VALUE!</v>
      </c>
      <c r="AY48" s="405" t="e">
        <f t="shared" si="11"/>
        <v>#VALUE!</v>
      </c>
      <c r="AZ48" s="470" t="s">
        <v>321</v>
      </c>
    </row>
    <row r="49" spans="1:52" ht="45" customHeight="1" thickBot="1">
      <c r="A49" s="488">
        <f>IF(Results!$A$3=25,'NPV Summary'!D49,IF(Results!$A$3=20,'NPV Summary'!P49,'NPV Summary'!AB49))</f>
        <v>340.2006120431007</v>
      </c>
      <c r="B49" s="1009"/>
      <c r="C49" s="123" t="s">
        <v>337</v>
      </c>
      <c r="D49" s="340">
        <f>'NPV Analysis'!D206</f>
        <v>386.42679555518851</v>
      </c>
      <c r="E49" s="337">
        <f>'NPV Analysis'!D207</f>
        <v>386426.79555518844</v>
      </c>
      <c r="F49" s="314">
        <f>G49/'NPV Analysis'!$B$4</f>
        <v>321.1180867265349</v>
      </c>
      <c r="G49" s="337">
        <f>'NPV Analysis'!D208</f>
        <v>321118.08672653488</v>
      </c>
      <c r="H49" s="314">
        <f>I49/'NPV Analysis'!$B$4</f>
        <v>55.516655569207806</v>
      </c>
      <c r="I49" s="345">
        <f>'NPV Analysis'!D209</f>
        <v>55516.655569207804</v>
      </c>
      <c r="J49" s="314">
        <f>K49/'NPV Analysis'!$B$4</f>
        <v>9.7920532594457761</v>
      </c>
      <c r="K49" s="337">
        <f>'NPV Analysis'!D210</f>
        <v>9792.0532594457763</v>
      </c>
      <c r="L49" s="492">
        <f>M49/'NPV Analysis'!$B$4</f>
        <v>-54.128998052199812</v>
      </c>
      <c r="M49" s="500">
        <f>'NPV Analysis'!D211*-1</f>
        <v>-54128.998052199815</v>
      </c>
      <c r="N49" s="1009"/>
      <c r="O49" s="557" t="s">
        <v>339</v>
      </c>
      <c r="P49" s="356">
        <f>'NPV Analysis'!C206</f>
        <v>340.2006120431007</v>
      </c>
      <c r="Q49" s="364">
        <f>'NPV Analysis'!C207</f>
        <v>340200.61204310064</v>
      </c>
      <c r="R49" s="323">
        <f>S49/'NPV Analysis'!$B$4</f>
        <v>284.90667573407643</v>
      </c>
      <c r="S49" s="364">
        <f>'NPV Analysis'!C208</f>
        <v>284906.67573407642</v>
      </c>
      <c r="T49" s="323">
        <f>U49/'NPV Analysis'!$B$4</f>
        <v>46.71582177590065</v>
      </c>
      <c r="U49" s="365">
        <f>'NPV Analysis'!C209</f>
        <v>46715.821775900651</v>
      </c>
      <c r="V49" s="323">
        <f>W49/'NPV Analysis'!$B$4</f>
        <v>8.5781145331235518</v>
      </c>
      <c r="W49" s="364">
        <f>'NPV Analysis'!C210</f>
        <v>8578.1145331235512</v>
      </c>
      <c r="X49" s="508">
        <f>Y49/'NPV Analysis'!$B$4</f>
        <v>-79.712125627639651</v>
      </c>
      <c r="Y49" s="516">
        <f>'NPV Analysis'!C211*-1</f>
        <v>-79712.125627639645</v>
      </c>
      <c r="Z49" s="1009"/>
      <c r="AA49" s="557" t="s">
        <v>339</v>
      </c>
      <c r="AB49" s="330">
        <f>'NPV Analysis'!B206</f>
        <v>279.53274883848184</v>
      </c>
      <c r="AC49" s="381">
        <f>'NPV Analysis'!B207</f>
        <v>279532.74883848184</v>
      </c>
      <c r="AD49" s="330">
        <f>AE49/'NPV Analysis'!$B$4</f>
        <v>235.75432078314518</v>
      </c>
      <c r="AE49" s="381">
        <f>'NPV Analysis'!B208</f>
        <v>235754.32078314517</v>
      </c>
      <c r="AF49" s="330">
        <f>AG49/'NPV Analysis'!$B$4</f>
        <v>36.706979349686947</v>
      </c>
      <c r="AG49" s="382">
        <f>'NPV Analysis'!B209</f>
        <v>36706.979349686946</v>
      </c>
      <c r="AH49" s="330">
        <f>AI49/'NPV Analysis'!$B$4</f>
        <v>7.0714487056497299</v>
      </c>
      <c r="AI49" s="381">
        <f>'NPV Analysis'!B210</f>
        <v>7071.4487056497301</v>
      </c>
      <c r="AJ49" s="524">
        <f>AK49/'NPV Analysis'!$B$4</f>
        <v>-74.605751913909486</v>
      </c>
      <c r="AK49" s="532">
        <f>'NPV Analysis'!B211*-1</f>
        <v>-74605.75191390948</v>
      </c>
      <c r="AL49" s="1009"/>
      <c r="AM49" s="557" t="s">
        <v>339</v>
      </c>
      <c r="AN49" s="390">
        <f t="shared" si="0"/>
        <v>279.53274883848184</v>
      </c>
      <c r="AO49" s="391">
        <f t="shared" si="1"/>
        <v>340.2006120431007</v>
      </c>
      <c r="AP49" s="372">
        <f t="shared" si="2"/>
        <v>386.42679555518851</v>
      </c>
      <c r="AQ49" s="409">
        <f t="shared" si="3"/>
        <v>235.75432078314518</v>
      </c>
      <c r="AR49" s="410">
        <f t="shared" si="4"/>
        <v>284.90667573407643</v>
      </c>
      <c r="AS49" s="411">
        <f t="shared" si="5"/>
        <v>321.1180867265349</v>
      </c>
      <c r="AT49" s="390">
        <f t="shared" si="6"/>
        <v>36.706979349686947</v>
      </c>
      <c r="AU49" s="391">
        <f t="shared" si="7"/>
        <v>46.71582177590065</v>
      </c>
      <c r="AV49" s="372">
        <f t="shared" si="8"/>
        <v>55.516655569207806</v>
      </c>
      <c r="AW49" s="409">
        <f t="shared" si="9"/>
        <v>7.0714487056497299</v>
      </c>
      <c r="AX49" s="410">
        <f t="shared" si="10"/>
        <v>8.5781145331235518</v>
      </c>
      <c r="AY49" s="411">
        <f t="shared" si="11"/>
        <v>9.7920532594457761</v>
      </c>
      <c r="AZ49" s="472" t="s">
        <v>339</v>
      </c>
    </row>
    <row r="50" spans="1:52" ht="45" customHeight="1" thickBot="1">
      <c r="A50" s="488">
        <f>IF(Results!$A$3=25,'NPV Summary'!D50,IF(Results!$A$3=20,'NPV Summary'!P50,'NPV Summary'!AB50))</f>
        <v>424.46949416597454</v>
      </c>
      <c r="B50" s="1009"/>
      <c r="C50" s="123" t="s">
        <v>338</v>
      </c>
      <c r="D50" s="340">
        <f>'NPV Analysis'!D249</f>
        <v>487.96847311063891</v>
      </c>
      <c r="E50" s="337">
        <f>'NPV Analysis'!D250</f>
        <v>487968.47311063891</v>
      </c>
      <c r="F50" s="314">
        <f>G50/'NPV Analysis'!$B$4</f>
        <v>410.06023961379634</v>
      </c>
      <c r="G50" s="337">
        <f>'NPV Analysis'!D251</f>
        <v>410060.23961379635</v>
      </c>
      <c r="H50" s="314">
        <f>I50/'NPV Analysis'!$B$4</f>
        <v>68.116180237396804</v>
      </c>
      <c r="I50" s="345">
        <f>'NPV Analysis'!D252</f>
        <v>68116.180237396809</v>
      </c>
      <c r="J50" s="314">
        <f>K50/'NPV Analysis'!$B$4</f>
        <v>9.7920532594457761</v>
      </c>
      <c r="K50" s="337">
        <f>'NPV Analysis'!D253</f>
        <v>9792.0532594457763</v>
      </c>
      <c r="L50" s="492">
        <f>M50/'NPV Analysis'!$B$4</f>
        <v>-91.957283106683263</v>
      </c>
      <c r="M50" s="500">
        <f>'NPV Analysis'!D254*-1</f>
        <v>-91957.283106683259</v>
      </c>
      <c r="N50" s="1009"/>
      <c r="O50" s="557" t="s">
        <v>323</v>
      </c>
      <c r="P50" s="356">
        <f>'NPV Analysis'!C249</f>
        <v>424.46949416597454</v>
      </c>
      <c r="Q50" s="364">
        <f>'NPV Analysis'!C250</f>
        <v>424469.49416597467</v>
      </c>
      <c r="R50" s="323">
        <f>S50/'NPV Analysis'!$B$4</f>
        <v>358.57338553901542</v>
      </c>
      <c r="S50" s="364">
        <f>'NPV Analysis'!C251</f>
        <v>358573.38553901541</v>
      </c>
      <c r="T50" s="323">
        <f>U50/'NPV Analysis'!$B$4</f>
        <v>57.317994093835559</v>
      </c>
      <c r="U50" s="365">
        <f>'NPV Analysis'!C252</f>
        <v>57317.994093835558</v>
      </c>
      <c r="V50" s="323">
        <f>W50/'NPV Analysis'!$B$4</f>
        <v>8.5781145331235518</v>
      </c>
      <c r="W50" s="364">
        <f>'NPV Analysis'!C253</f>
        <v>8578.1145331235512</v>
      </c>
      <c r="X50" s="508">
        <f>Y50/'NPV Analysis'!$B$4</f>
        <v>-130.40376107405834</v>
      </c>
      <c r="Y50" s="516">
        <f>'NPV Analysis'!C254*-1</f>
        <v>-130403.76107405833</v>
      </c>
      <c r="Z50" s="1009"/>
      <c r="AA50" s="557" t="s">
        <v>323</v>
      </c>
      <c r="AB50" s="330">
        <f>'NPV Analysis'!B249</f>
        <v>341.36793752111026</v>
      </c>
      <c r="AC50" s="381">
        <f>'NPV Analysis'!B250</f>
        <v>341367.93752111029</v>
      </c>
      <c r="AD50" s="330">
        <f>AE50/'NPV Analysis'!$B$4</f>
        <v>289.25884748570286</v>
      </c>
      <c r="AE50" s="381">
        <f>'NPV Analysis'!B251</f>
        <v>289258.84748570283</v>
      </c>
      <c r="AF50" s="330">
        <f>AG50/'NPV Analysis'!$B$4</f>
        <v>45.03764132975774</v>
      </c>
      <c r="AG50" s="382">
        <f>'NPV Analysis'!B252</f>
        <v>45037.641329757738</v>
      </c>
      <c r="AH50" s="330">
        <f>AI50/'NPV Analysis'!$B$4</f>
        <v>7.0714487056497299</v>
      </c>
      <c r="AI50" s="381">
        <f>'NPV Analysis'!B253</f>
        <v>7071.4487056497301</v>
      </c>
      <c r="AJ50" s="524">
        <f>AK50/'NPV Analysis'!$B$4</f>
        <v>-91.537553766711738</v>
      </c>
      <c r="AK50" s="532">
        <f>'NPV Analysis'!B254*-1</f>
        <v>-91537.553766711731</v>
      </c>
      <c r="AL50" s="1009"/>
      <c r="AM50" s="557" t="s">
        <v>323</v>
      </c>
      <c r="AN50" s="390">
        <f t="shared" si="0"/>
        <v>341.36793752111026</v>
      </c>
      <c r="AO50" s="391">
        <f t="shared" si="1"/>
        <v>424.46949416597454</v>
      </c>
      <c r="AP50" s="372">
        <f t="shared" si="2"/>
        <v>487.96847311063891</v>
      </c>
      <c r="AQ50" s="409">
        <f t="shared" si="3"/>
        <v>289.25884748570286</v>
      </c>
      <c r="AR50" s="410">
        <f t="shared" si="4"/>
        <v>358.57338553901542</v>
      </c>
      <c r="AS50" s="411">
        <f t="shared" si="5"/>
        <v>410.06023961379634</v>
      </c>
      <c r="AT50" s="390">
        <f t="shared" si="6"/>
        <v>45.03764132975774</v>
      </c>
      <c r="AU50" s="391">
        <f t="shared" si="7"/>
        <v>57.317994093835559</v>
      </c>
      <c r="AV50" s="372">
        <f t="shared" si="8"/>
        <v>68.116180237396804</v>
      </c>
      <c r="AW50" s="409">
        <f t="shared" si="9"/>
        <v>7.0714487056497299</v>
      </c>
      <c r="AX50" s="410">
        <f t="shared" si="10"/>
        <v>8.5781145331235518</v>
      </c>
      <c r="AY50" s="411">
        <f t="shared" si="11"/>
        <v>9.7920532594457761</v>
      </c>
      <c r="AZ50" s="472" t="s">
        <v>323</v>
      </c>
    </row>
    <row r="51" spans="1:52" ht="45" customHeight="1" thickBot="1">
      <c r="A51" s="488">
        <f>IF(Results!$A$3=25,'NPV Summary'!D51,IF(Results!$A$3=20,'NPV Summary'!P51,'NPV Summary'!AB51))</f>
        <v>376.79806074970998</v>
      </c>
      <c r="B51" s="1010"/>
      <c r="C51" s="398" t="s">
        <v>324</v>
      </c>
      <c r="D51" s="435">
        <f>'NPV Analysis'!D292</f>
        <v>429.0840857295135</v>
      </c>
      <c r="E51" s="436">
        <f>'NPV Analysis'!D293</f>
        <v>429084.08572951355</v>
      </c>
      <c r="F51" s="437">
        <f>G51/'NPV Analysis'!$B$4</f>
        <v>377.84602686580001</v>
      </c>
      <c r="G51" s="436">
        <f>'NPV Analysis'!D294</f>
        <v>377846.02686580003</v>
      </c>
      <c r="H51" s="437">
        <f>I51/'NPV Analysis'!$B$4</f>
        <v>41.23542381374196</v>
      </c>
      <c r="I51" s="438">
        <f>'NPV Analysis'!D295</f>
        <v>41235.42381374196</v>
      </c>
      <c r="J51" s="437">
        <f>K51/'NPV Analysis'!$B$4</f>
        <v>10.00263504997149</v>
      </c>
      <c r="K51" s="436">
        <f>'NPV Analysis'!D296</f>
        <v>10002.63504997149</v>
      </c>
      <c r="L51" s="495">
        <f>M51/'NPV Analysis'!$B$4</f>
        <v>-30.268534099020616</v>
      </c>
      <c r="M51" s="503">
        <f>'NPV Analysis'!D297*-1</f>
        <v>-30268.534099020617</v>
      </c>
      <c r="N51" s="1010"/>
      <c r="O51" s="447" t="s">
        <v>324</v>
      </c>
      <c r="P51" s="439">
        <f>'NPV Analysis'!C292</f>
        <v>376.79806074970998</v>
      </c>
      <c r="Q51" s="440">
        <f>'NPV Analysis'!C293</f>
        <v>376798.06074970996</v>
      </c>
      <c r="R51" s="441">
        <f>S51/'NPV Analysis'!$B$4</f>
        <v>330.85221697585553</v>
      </c>
      <c r="S51" s="440">
        <f>'NPV Analysis'!C294</f>
        <v>330852.21697585552</v>
      </c>
      <c r="T51" s="441">
        <f>U51/'NPV Analysis'!$B$4</f>
        <v>37.183253659373371</v>
      </c>
      <c r="U51" s="442">
        <f>'NPV Analysis'!C295</f>
        <v>37183.253659373368</v>
      </c>
      <c r="V51" s="441">
        <f>W51/'NPV Analysis'!$B$4</f>
        <v>8.7625901144810445</v>
      </c>
      <c r="W51" s="440">
        <f>'NPV Analysis'!C296</f>
        <v>8762.590114481045</v>
      </c>
      <c r="X51" s="511">
        <f>Y51/'NPV Analysis'!$B$4</f>
        <v>0</v>
      </c>
      <c r="Y51" s="519">
        <f>'NPV Analysis'!C297*-1</f>
        <v>0</v>
      </c>
      <c r="Z51" s="1010"/>
      <c r="AA51" s="447" t="s">
        <v>324</v>
      </c>
      <c r="AB51" s="443">
        <f>'NPV Analysis'!B292</f>
        <v>318.4112352161689</v>
      </c>
      <c r="AC51" s="444">
        <f>'NPV Analysis'!B293</f>
        <v>318411.23521616892</v>
      </c>
      <c r="AD51" s="443">
        <f>AE51/'NPV Analysis'!$B$4</f>
        <v>281.54796442153116</v>
      </c>
      <c r="AE51" s="444">
        <f>'NPV Analysis'!B294</f>
        <v>281547.96442153119</v>
      </c>
      <c r="AF51" s="443">
        <f>AG51/'NPV Analysis'!$B$4</f>
        <v>29.639747923275099</v>
      </c>
      <c r="AG51" s="445">
        <f>'NPV Analysis'!B295</f>
        <v>29639.747923275099</v>
      </c>
      <c r="AH51" s="443">
        <f>AI51/'NPV Analysis'!$B$4</f>
        <v>7.2235228713626247</v>
      </c>
      <c r="AI51" s="444">
        <f>'NPV Analysis'!B296</f>
        <v>7223.5228713626248</v>
      </c>
      <c r="AJ51" s="527">
        <f>AK51/'NPV Analysis'!$B$4</f>
        <v>-49.304252554324442</v>
      </c>
      <c r="AK51" s="535">
        <f>'NPV Analysis'!B297*-1</f>
        <v>-49304.252554324441</v>
      </c>
      <c r="AL51" s="1010"/>
      <c r="AM51" s="447" t="s">
        <v>324</v>
      </c>
      <c r="AN51" s="448">
        <f>AB51</f>
        <v>318.4112352161689</v>
      </c>
      <c r="AO51" s="449">
        <f>P51</f>
        <v>376.79806074970998</v>
      </c>
      <c r="AP51" s="446">
        <f>D51</f>
        <v>429.0840857295135</v>
      </c>
      <c r="AQ51" s="450">
        <f>AD51</f>
        <v>281.54796442153116</v>
      </c>
      <c r="AR51" s="451">
        <f>R51</f>
        <v>330.85221697585553</v>
      </c>
      <c r="AS51" s="452">
        <f>F51</f>
        <v>377.84602686580001</v>
      </c>
      <c r="AT51" s="448">
        <f>AF51</f>
        <v>29.639747923275099</v>
      </c>
      <c r="AU51" s="449">
        <f>T51</f>
        <v>37.183253659373371</v>
      </c>
      <c r="AV51" s="446">
        <f>H51</f>
        <v>41.23542381374196</v>
      </c>
      <c r="AW51" s="450">
        <f>AH51</f>
        <v>7.2235228713626247</v>
      </c>
      <c r="AX51" s="451">
        <f>V51</f>
        <v>8.7625901144810445</v>
      </c>
      <c r="AY51" s="452">
        <f>J51</f>
        <v>10.00263504997149</v>
      </c>
      <c r="AZ51" s="475" t="s">
        <v>324</v>
      </c>
    </row>
    <row r="52" spans="1:52" ht="45" customHeight="1" thickTop="1" thickBot="1">
      <c r="A52" s="488" t="e">
        <f>IF(Results!$A$3=25,'NPV Summary'!D52,IF(Results!$A$3=20,'NPV Summary'!P52,'NPV Summary'!AB52))</f>
        <v>#VALUE!</v>
      </c>
      <c r="B52" s="990" t="s">
        <v>251</v>
      </c>
      <c r="C52" s="576" t="s">
        <v>340</v>
      </c>
      <c r="D52" s="301" t="e">
        <f>'NPV Analysis'!D335</f>
        <v>#VALUE!</v>
      </c>
      <c r="E52" s="336" t="e">
        <f>'NPV Analysis'!D336</f>
        <v>#VALUE!</v>
      </c>
      <c r="F52" s="316" t="e">
        <f>G52/'NPV Analysis'!$B$4</f>
        <v>#VALUE!</v>
      </c>
      <c r="G52" s="336" t="e">
        <f>'NPV Analysis'!D337</f>
        <v>#VALUE!</v>
      </c>
      <c r="H52" s="316" t="e">
        <f>I52/'NPV Analysis'!$B$4</f>
        <v>#VALUE!</v>
      </c>
      <c r="I52" s="343" t="e">
        <f>'NPV Analysis'!D338</f>
        <v>#VALUE!</v>
      </c>
      <c r="J52" s="316" t="e">
        <f>K52/'NPV Analysis'!$B$4</f>
        <v>#VALUE!</v>
      </c>
      <c r="K52" s="336" t="e">
        <f>'NPV Analysis'!D339</f>
        <v>#VALUE!</v>
      </c>
      <c r="L52" s="490" t="e">
        <f>M52/'NPV Analysis'!$B$4</f>
        <v>#VALUE!</v>
      </c>
      <c r="M52" s="498" t="e">
        <f>'NPV Analysis'!D340*-1</f>
        <v>#VALUE!</v>
      </c>
      <c r="N52" s="990" t="s">
        <v>251</v>
      </c>
      <c r="O52" s="125" t="s">
        <v>340</v>
      </c>
      <c r="P52" s="300" t="e">
        <f>'NPV Analysis'!C335</f>
        <v>#VALUE!</v>
      </c>
      <c r="Q52" s="360" t="e">
        <f>'NPV Analysis'!C336</f>
        <v>#VALUE!</v>
      </c>
      <c r="R52" s="325" t="e">
        <f>S52/'NPV Analysis'!$B$4</f>
        <v>#VALUE!</v>
      </c>
      <c r="S52" s="360" t="e">
        <f>'NPV Analysis'!C337</f>
        <v>#VALUE!</v>
      </c>
      <c r="T52" s="325" t="e">
        <f>U52/'NPV Analysis'!$B$4</f>
        <v>#VALUE!</v>
      </c>
      <c r="U52" s="361" t="e">
        <f>'NPV Analysis'!C338</f>
        <v>#VALUE!</v>
      </c>
      <c r="V52" s="325" t="e">
        <f>W52/'NPV Analysis'!$B$4</f>
        <v>#VALUE!</v>
      </c>
      <c r="W52" s="360" t="e">
        <f>'NPV Analysis'!C339</f>
        <v>#VALUE!</v>
      </c>
      <c r="X52" s="506" t="e">
        <f>Y52/'NPV Analysis'!$B$4</f>
        <v>#VALUE!</v>
      </c>
      <c r="Y52" s="514" t="e">
        <f>'NPV Analysis'!C340*-1</f>
        <v>#VALUE!</v>
      </c>
      <c r="Z52" s="990" t="s">
        <v>251</v>
      </c>
      <c r="AA52" s="125" t="s">
        <v>340</v>
      </c>
      <c r="AB52" s="332" t="e">
        <f>'NPV Analysis'!B335</f>
        <v>#VALUE!</v>
      </c>
      <c r="AC52" s="377" t="e">
        <f>'NPV Analysis'!B336</f>
        <v>#VALUE!</v>
      </c>
      <c r="AD52" s="332" t="e">
        <f>AE52/'NPV Analysis'!$B$4</f>
        <v>#VALUE!</v>
      </c>
      <c r="AE52" s="377" t="e">
        <f>'NPV Analysis'!B337</f>
        <v>#VALUE!</v>
      </c>
      <c r="AF52" s="332" t="e">
        <f>AG52/'NPV Analysis'!$B$4</f>
        <v>#VALUE!</v>
      </c>
      <c r="AG52" s="378" t="e">
        <f>'NPV Analysis'!B338</f>
        <v>#VALUE!</v>
      </c>
      <c r="AH52" s="332" t="e">
        <f>AI52/'NPV Analysis'!$B$4</f>
        <v>#VALUE!</v>
      </c>
      <c r="AI52" s="377" t="e">
        <f>'NPV Analysis'!B339</f>
        <v>#VALUE!</v>
      </c>
      <c r="AJ52" s="522" t="e">
        <f>AK52/'NPV Analysis'!$B$4</f>
        <v>#VALUE!</v>
      </c>
      <c r="AK52" s="530" t="e">
        <f>'NPV Analysis'!B340*-1</f>
        <v>#VALUE!</v>
      </c>
      <c r="AL52" s="990" t="s">
        <v>251</v>
      </c>
      <c r="AM52" s="125" t="s">
        <v>340</v>
      </c>
      <c r="AN52" s="386" t="e">
        <f t="shared" si="0"/>
        <v>#VALUE!</v>
      </c>
      <c r="AO52" s="387" t="e">
        <f t="shared" si="1"/>
        <v>#VALUE!</v>
      </c>
      <c r="AP52" s="370" t="e">
        <f t="shared" si="2"/>
        <v>#VALUE!</v>
      </c>
      <c r="AQ52" s="403" t="e">
        <f t="shared" si="3"/>
        <v>#VALUE!</v>
      </c>
      <c r="AR52" s="404" t="e">
        <f t="shared" si="4"/>
        <v>#VALUE!</v>
      </c>
      <c r="AS52" s="405" t="e">
        <f t="shared" si="5"/>
        <v>#VALUE!</v>
      </c>
      <c r="AT52" s="386" t="e">
        <f t="shared" si="6"/>
        <v>#VALUE!</v>
      </c>
      <c r="AU52" s="387" t="e">
        <f t="shared" si="7"/>
        <v>#VALUE!</v>
      </c>
      <c r="AV52" s="370" t="e">
        <f t="shared" si="8"/>
        <v>#VALUE!</v>
      </c>
      <c r="AW52" s="403" t="e">
        <f t="shared" si="9"/>
        <v>#VALUE!</v>
      </c>
      <c r="AX52" s="404" t="e">
        <f t="shared" si="10"/>
        <v>#VALUE!</v>
      </c>
      <c r="AY52" s="405" t="e">
        <f t="shared" si="11"/>
        <v>#VALUE!</v>
      </c>
      <c r="AZ52" s="470" t="s">
        <v>340</v>
      </c>
    </row>
    <row r="53" spans="1:52" ht="45" customHeight="1" thickTop="1" thickBot="1">
      <c r="A53" s="488" t="e">
        <f>IF(Results!$A$3=25,'NPV Summary'!D53,IF(Results!$A$3=20,'NPV Summary'!P53,'NPV Summary'!AB53))</f>
        <v>#VALUE!</v>
      </c>
      <c r="B53" s="991"/>
      <c r="C53" s="643" t="s">
        <v>341</v>
      </c>
      <c r="D53" s="340" t="e">
        <f>'NPV Analysis'!D378</f>
        <v>#VALUE!</v>
      </c>
      <c r="E53" s="337" t="e">
        <f>'NPV Analysis'!D379</f>
        <v>#VALUE!</v>
      </c>
      <c r="F53" s="314" t="e">
        <f>G53/'NPV Analysis'!$B$4</f>
        <v>#VALUE!</v>
      </c>
      <c r="G53" s="337" t="e">
        <f>'NPV Analysis'!D380</f>
        <v>#VALUE!</v>
      </c>
      <c r="H53" s="314" t="e">
        <f>I53/'NPV Analysis'!$B$4</f>
        <v>#VALUE!</v>
      </c>
      <c r="I53" s="345" t="e">
        <f>'NPV Analysis'!D381</f>
        <v>#VALUE!</v>
      </c>
      <c r="J53" s="314" t="e">
        <f>K53/'NPV Analysis'!$B$4</f>
        <v>#VALUE!</v>
      </c>
      <c r="K53" s="337" t="e">
        <f>'NPV Analysis'!D382</f>
        <v>#VALUE!</v>
      </c>
      <c r="L53" s="492" t="e">
        <f>M53/'NPV Analysis'!$B$4</f>
        <v>#VALUE!</v>
      </c>
      <c r="M53" s="500" t="e">
        <f>'NPV Analysis'!D383*-1</f>
        <v>#VALUE!</v>
      </c>
      <c r="N53" s="991"/>
      <c r="O53" s="123" t="s">
        <v>341</v>
      </c>
      <c r="P53" s="356" t="e">
        <f>'NPV Analysis'!C378</f>
        <v>#VALUE!</v>
      </c>
      <c r="Q53" s="364" t="e">
        <f>'NPV Analysis'!C379</f>
        <v>#VALUE!</v>
      </c>
      <c r="R53" s="323" t="e">
        <f>S53/'NPV Analysis'!$B$4</f>
        <v>#VALUE!</v>
      </c>
      <c r="S53" s="364" t="e">
        <f>'NPV Analysis'!C380</f>
        <v>#VALUE!</v>
      </c>
      <c r="T53" s="323" t="e">
        <f>U53/'NPV Analysis'!$B$4</f>
        <v>#VALUE!</v>
      </c>
      <c r="U53" s="365" t="e">
        <f>'NPV Analysis'!C381</f>
        <v>#VALUE!</v>
      </c>
      <c r="V53" s="323" t="e">
        <f>W53/'NPV Analysis'!$B$4</f>
        <v>#VALUE!</v>
      </c>
      <c r="W53" s="364" t="e">
        <f>'NPV Analysis'!C382</f>
        <v>#VALUE!</v>
      </c>
      <c r="X53" s="508" t="e">
        <f>Y53/'NPV Analysis'!$B$4</f>
        <v>#VALUE!</v>
      </c>
      <c r="Y53" s="516" t="e">
        <f>'NPV Analysis'!C383*-1</f>
        <v>#VALUE!</v>
      </c>
      <c r="Z53" s="991"/>
      <c r="AA53" s="123" t="s">
        <v>341</v>
      </c>
      <c r="AB53" s="330" t="e">
        <f>'NPV Analysis'!B378</f>
        <v>#VALUE!</v>
      </c>
      <c r="AC53" s="381" t="e">
        <f>'NPV Analysis'!B379</f>
        <v>#VALUE!</v>
      </c>
      <c r="AD53" s="330" t="e">
        <f>AE53/'NPV Analysis'!$B$4</f>
        <v>#VALUE!</v>
      </c>
      <c r="AE53" s="381" t="e">
        <f>'NPV Analysis'!B380</f>
        <v>#VALUE!</v>
      </c>
      <c r="AF53" s="330" t="e">
        <f>AG53/'NPV Analysis'!$B$4</f>
        <v>#VALUE!</v>
      </c>
      <c r="AG53" s="382" t="e">
        <f>'NPV Analysis'!B381</f>
        <v>#VALUE!</v>
      </c>
      <c r="AH53" s="330" t="e">
        <f>AI53/'NPV Analysis'!$B$4</f>
        <v>#VALUE!</v>
      </c>
      <c r="AI53" s="381" t="e">
        <f>'NPV Analysis'!B382</f>
        <v>#VALUE!</v>
      </c>
      <c r="AJ53" s="524" t="e">
        <f>AK53/'NPV Analysis'!$B$4</f>
        <v>#VALUE!</v>
      </c>
      <c r="AK53" s="532" t="e">
        <f>'NPV Analysis'!B383*-1</f>
        <v>#VALUE!</v>
      </c>
      <c r="AL53" s="991"/>
      <c r="AM53" s="123" t="s">
        <v>341</v>
      </c>
      <c r="AN53" s="390" t="e">
        <f t="shared" si="0"/>
        <v>#VALUE!</v>
      </c>
      <c r="AO53" s="391" t="e">
        <f t="shared" si="1"/>
        <v>#VALUE!</v>
      </c>
      <c r="AP53" s="372" t="e">
        <f t="shared" si="2"/>
        <v>#VALUE!</v>
      </c>
      <c r="AQ53" s="409" t="e">
        <f t="shared" si="3"/>
        <v>#VALUE!</v>
      </c>
      <c r="AR53" s="410" t="e">
        <f t="shared" si="4"/>
        <v>#VALUE!</v>
      </c>
      <c r="AS53" s="411" t="e">
        <f t="shared" si="5"/>
        <v>#VALUE!</v>
      </c>
      <c r="AT53" s="390" t="e">
        <f t="shared" si="6"/>
        <v>#VALUE!</v>
      </c>
      <c r="AU53" s="391" t="e">
        <f t="shared" si="7"/>
        <v>#VALUE!</v>
      </c>
      <c r="AV53" s="372" t="e">
        <f t="shared" si="8"/>
        <v>#VALUE!</v>
      </c>
      <c r="AW53" s="409" t="e">
        <f t="shared" si="9"/>
        <v>#VALUE!</v>
      </c>
      <c r="AX53" s="410" t="e">
        <f t="shared" si="10"/>
        <v>#VALUE!</v>
      </c>
      <c r="AY53" s="411" t="e">
        <f t="shared" si="11"/>
        <v>#VALUE!</v>
      </c>
      <c r="AZ53" s="472" t="s">
        <v>341</v>
      </c>
    </row>
    <row r="54" spans="1:52" ht="45" customHeight="1" thickTop="1" thickBot="1">
      <c r="A54" s="488" t="e">
        <f>IF(Results!$A$3=25,'NPV Summary'!D54,IF(Results!$A$3=20,'NPV Summary'!P54,'NPV Summary'!AB54))</f>
        <v>#VALUE!</v>
      </c>
      <c r="B54" s="991"/>
      <c r="C54" s="643" t="s">
        <v>342</v>
      </c>
      <c r="D54" s="340" t="e">
        <f>'NPV Analysis'!D421</f>
        <v>#VALUE!</v>
      </c>
      <c r="E54" s="337" t="e">
        <f>'NPV Analysis'!D422</f>
        <v>#VALUE!</v>
      </c>
      <c r="F54" s="314" t="e">
        <f>G54/'NPV Analysis'!$B$4</f>
        <v>#VALUE!</v>
      </c>
      <c r="G54" s="337" t="e">
        <f>'NPV Analysis'!D423</f>
        <v>#VALUE!</v>
      </c>
      <c r="H54" s="314" t="e">
        <f>I54/'NPV Analysis'!$B$4</f>
        <v>#VALUE!</v>
      </c>
      <c r="I54" s="345" t="e">
        <f>'NPV Analysis'!D424</f>
        <v>#VALUE!</v>
      </c>
      <c r="J54" s="314" t="e">
        <f>K54/'NPV Analysis'!$B$4</f>
        <v>#VALUE!</v>
      </c>
      <c r="K54" s="337" t="e">
        <f>'NPV Analysis'!D425</f>
        <v>#VALUE!</v>
      </c>
      <c r="L54" s="492" t="e">
        <f>M54/'NPV Analysis'!$B$4</f>
        <v>#VALUE!</v>
      </c>
      <c r="M54" s="500" t="e">
        <f>'NPV Analysis'!D426*-1</f>
        <v>#VALUE!</v>
      </c>
      <c r="N54" s="991"/>
      <c r="O54" s="123" t="s">
        <v>342</v>
      </c>
      <c r="P54" s="356" t="e">
        <f>'NPV Analysis'!C421</f>
        <v>#VALUE!</v>
      </c>
      <c r="Q54" s="364" t="e">
        <f>'NPV Analysis'!C422</f>
        <v>#VALUE!</v>
      </c>
      <c r="R54" s="323" t="e">
        <f>S54/'NPV Analysis'!$B$4</f>
        <v>#VALUE!</v>
      </c>
      <c r="S54" s="364" t="e">
        <f>'NPV Analysis'!C423</f>
        <v>#VALUE!</v>
      </c>
      <c r="T54" s="323" t="e">
        <f>U54/'NPV Analysis'!$B$4</f>
        <v>#VALUE!</v>
      </c>
      <c r="U54" s="365" t="e">
        <f>'NPV Analysis'!C424</f>
        <v>#VALUE!</v>
      </c>
      <c r="V54" s="323" t="e">
        <f>W54/'NPV Analysis'!$B$4</f>
        <v>#VALUE!</v>
      </c>
      <c r="W54" s="364" t="e">
        <f>'NPV Analysis'!C425</f>
        <v>#VALUE!</v>
      </c>
      <c r="X54" s="508" t="e">
        <f>Y54/'NPV Analysis'!$B$4</f>
        <v>#VALUE!</v>
      </c>
      <c r="Y54" s="516" t="e">
        <f>'NPV Analysis'!C426*-1</f>
        <v>#VALUE!</v>
      </c>
      <c r="Z54" s="991"/>
      <c r="AA54" s="123" t="s">
        <v>342</v>
      </c>
      <c r="AB54" s="330" t="e">
        <f>'NPV Analysis'!B421</f>
        <v>#VALUE!</v>
      </c>
      <c r="AC54" s="381" t="e">
        <f>'NPV Analysis'!B422</f>
        <v>#VALUE!</v>
      </c>
      <c r="AD54" s="330" t="e">
        <f>AE54/'NPV Analysis'!$B$4</f>
        <v>#VALUE!</v>
      </c>
      <c r="AE54" s="381" t="e">
        <f>'NPV Analysis'!B423</f>
        <v>#VALUE!</v>
      </c>
      <c r="AF54" s="330" t="e">
        <f>AG54/'NPV Analysis'!$B$4</f>
        <v>#VALUE!</v>
      </c>
      <c r="AG54" s="382" t="e">
        <f>'NPV Analysis'!B424</f>
        <v>#VALUE!</v>
      </c>
      <c r="AH54" s="330" t="e">
        <f>AI54/'NPV Analysis'!$B$4</f>
        <v>#VALUE!</v>
      </c>
      <c r="AI54" s="381" t="e">
        <f>'NPV Analysis'!B425</f>
        <v>#VALUE!</v>
      </c>
      <c r="AJ54" s="524" t="e">
        <f>AK54/'NPV Analysis'!$B$4</f>
        <v>#VALUE!</v>
      </c>
      <c r="AK54" s="532" t="e">
        <f>'NPV Analysis'!B426*-1</f>
        <v>#VALUE!</v>
      </c>
      <c r="AL54" s="991"/>
      <c r="AM54" s="123" t="s">
        <v>342</v>
      </c>
      <c r="AN54" s="390" t="e">
        <f t="shared" si="0"/>
        <v>#VALUE!</v>
      </c>
      <c r="AO54" s="391" t="e">
        <f t="shared" si="1"/>
        <v>#VALUE!</v>
      </c>
      <c r="AP54" s="372" t="e">
        <f t="shared" si="2"/>
        <v>#VALUE!</v>
      </c>
      <c r="AQ54" s="409" t="e">
        <f t="shared" si="3"/>
        <v>#VALUE!</v>
      </c>
      <c r="AR54" s="410" t="e">
        <f t="shared" si="4"/>
        <v>#VALUE!</v>
      </c>
      <c r="AS54" s="411" t="e">
        <f t="shared" si="5"/>
        <v>#VALUE!</v>
      </c>
      <c r="AT54" s="390" t="e">
        <f t="shared" si="6"/>
        <v>#VALUE!</v>
      </c>
      <c r="AU54" s="391" t="e">
        <f t="shared" si="7"/>
        <v>#VALUE!</v>
      </c>
      <c r="AV54" s="372" t="e">
        <f t="shared" si="8"/>
        <v>#VALUE!</v>
      </c>
      <c r="AW54" s="409" t="e">
        <f t="shared" si="9"/>
        <v>#VALUE!</v>
      </c>
      <c r="AX54" s="410" t="e">
        <f t="shared" si="10"/>
        <v>#VALUE!</v>
      </c>
      <c r="AY54" s="411" t="e">
        <f t="shared" si="11"/>
        <v>#VALUE!</v>
      </c>
      <c r="AZ54" s="472" t="s">
        <v>342</v>
      </c>
    </row>
    <row r="55" spans="1:52" ht="45" customHeight="1" thickTop="1" thickBot="1">
      <c r="A55" s="488" t="e">
        <f>IF(Results!$A$3=25,'NPV Summary'!D55,IF(Results!$A$3=20,'NPV Summary'!P55,'NPV Summary'!AB55))</f>
        <v>#VALUE!</v>
      </c>
      <c r="B55" s="990" t="s">
        <v>332</v>
      </c>
      <c r="C55" s="644" t="s">
        <v>327</v>
      </c>
      <c r="D55" s="418" t="e">
        <f>'NPV Analysis'!D464</f>
        <v>#VALUE!</v>
      </c>
      <c r="E55" s="419" t="e">
        <f>'NPV Analysis'!D465</f>
        <v>#VALUE!</v>
      </c>
      <c r="F55" s="420" t="e">
        <f>G55/'NPV Analysis'!$B$4</f>
        <v>#VALUE!</v>
      </c>
      <c r="G55" s="419" t="e">
        <f>'NPV Analysis'!D466</f>
        <v>#VALUE!</v>
      </c>
      <c r="H55" s="420" t="e">
        <f>I55/'NPV Analysis'!$B$4</f>
        <v>#VALUE!</v>
      </c>
      <c r="I55" s="421" t="e">
        <f>'NPV Analysis'!D467</f>
        <v>#VALUE!</v>
      </c>
      <c r="J55" s="420" t="e">
        <f>K55/'NPV Analysis'!$B$4</f>
        <v>#VALUE!</v>
      </c>
      <c r="K55" s="419" t="e">
        <f>'NPV Analysis'!D468</f>
        <v>#VALUE!</v>
      </c>
      <c r="L55" s="494" t="e">
        <f>M55/'NPV Analysis'!$B$4</f>
        <v>#VALUE!</v>
      </c>
      <c r="M55" s="502" t="e">
        <f>'NPV Analysis'!D469*-1</f>
        <v>#VALUE!</v>
      </c>
      <c r="N55" s="995" t="s">
        <v>40</v>
      </c>
      <c r="O55" s="397" t="s">
        <v>327</v>
      </c>
      <c r="P55" s="422" t="e">
        <f>'NPV Analysis'!C464</f>
        <v>#VALUE!</v>
      </c>
      <c r="Q55" s="423" t="e">
        <f>'NPV Analysis'!C465</f>
        <v>#VALUE!</v>
      </c>
      <c r="R55" s="424" t="e">
        <f>S55/'NPV Analysis'!$B$4</f>
        <v>#VALUE!</v>
      </c>
      <c r="S55" s="423" t="e">
        <f>'NPV Analysis'!C466</f>
        <v>#VALUE!</v>
      </c>
      <c r="T55" s="424" t="e">
        <f>U55/'NPV Analysis'!$B$4</f>
        <v>#VALUE!</v>
      </c>
      <c r="U55" s="425" t="e">
        <f>'NPV Analysis'!C467</f>
        <v>#VALUE!</v>
      </c>
      <c r="V55" s="424" t="e">
        <f>W55/'NPV Analysis'!$B$4</f>
        <v>#VALUE!</v>
      </c>
      <c r="W55" s="423" t="e">
        <f>'NPV Analysis'!C468</f>
        <v>#VALUE!</v>
      </c>
      <c r="X55" s="510" t="e">
        <f>Y55/'NPV Analysis'!$B$4</f>
        <v>#VALUE!</v>
      </c>
      <c r="Y55" s="518" t="e">
        <f>'NPV Analysis'!C469*-1</f>
        <v>#VALUE!</v>
      </c>
      <c r="Z55" s="995" t="s">
        <v>40</v>
      </c>
      <c r="AA55" s="397" t="s">
        <v>327</v>
      </c>
      <c r="AB55" s="426" t="e">
        <f>'NPV Analysis'!B464</f>
        <v>#VALUE!</v>
      </c>
      <c r="AC55" s="427" t="e">
        <f>'NPV Analysis'!B465</f>
        <v>#VALUE!</v>
      </c>
      <c r="AD55" s="426" t="e">
        <f>AE55/'NPV Analysis'!$B$4</f>
        <v>#VALUE!</v>
      </c>
      <c r="AE55" s="427" t="e">
        <f>'NPV Analysis'!B466</f>
        <v>#VALUE!</v>
      </c>
      <c r="AF55" s="426" t="e">
        <f>AG55/'NPV Analysis'!$B$4</f>
        <v>#VALUE!</v>
      </c>
      <c r="AG55" s="428" t="e">
        <f>'NPV Analysis'!B467</f>
        <v>#VALUE!</v>
      </c>
      <c r="AH55" s="426" t="e">
        <f>AI55/'NPV Analysis'!$B$4</f>
        <v>#VALUE!</v>
      </c>
      <c r="AI55" s="427" t="e">
        <f>'NPV Analysis'!B468</f>
        <v>#VALUE!</v>
      </c>
      <c r="AJ55" s="526" t="e">
        <f>AK55/'NPV Analysis'!$B$4</f>
        <v>#VALUE!</v>
      </c>
      <c r="AK55" s="534" t="e">
        <f>'NPV Analysis'!B469*-1</f>
        <v>#VALUE!</v>
      </c>
      <c r="AL55" s="995" t="s">
        <v>40</v>
      </c>
      <c r="AM55" s="397" t="s">
        <v>327</v>
      </c>
      <c r="AN55" s="430" t="e">
        <f t="shared" si="0"/>
        <v>#VALUE!</v>
      </c>
      <c r="AO55" s="431" t="e">
        <f t="shared" si="1"/>
        <v>#VALUE!</v>
      </c>
      <c r="AP55" s="429" t="e">
        <f t="shared" si="2"/>
        <v>#VALUE!</v>
      </c>
      <c r="AQ55" s="432" t="e">
        <f t="shared" si="3"/>
        <v>#VALUE!</v>
      </c>
      <c r="AR55" s="433" t="e">
        <f t="shared" si="4"/>
        <v>#VALUE!</v>
      </c>
      <c r="AS55" s="434" t="e">
        <f t="shared" si="5"/>
        <v>#VALUE!</v>
      </c>
      <c r="AT55" s="430" t="e">
        <f t="shared" si="6"/>
        <v>#VALUE!</v>
      </c>
      <c r="AU55" s="431" t="e">
        <f t="shared" si="7"/>
        <v>#VALUE!</v>
      </c>
      <c r="AV55" s="429" t="e">
        <f t="shared" si="8"/>
        <v>#VALUE!</v>
      </c>
      <c r="AW55" s="432" t="e">
        <f t="shared" si="9"/>
        <v>#VALUE!</v>
      </c>
      <c r="AX55" s="433" t="e">
        <f t="shared" si="10"/>
        <v>#VALUE!</v>
      </c>
      <c r="AY55" s="434" t="e">
        <f t="shared" si="11"/>
        <v>#VALUE!</v>
      </c>
      <c r="AZ55" s="474" t="s">
        <v>327</v>
      </c>
    </row>
    <row r="56" spans="1:52" ht="35" customHeight="1" thickTop="1" thickBot="1">
      <c r="A56" s="488">
        <f>IF(Results!$A$3=25,'NPV Summary'!D56,IF(Results!$A$3=20,'NPV Summary'!P56,'NPV Summary'!AB56))</f>
        <v>404.0592440209092</v>
      </c>
      <c r="B56" s="991"/>
      <c r="C56" s="398" t="s">
        <v>330</v>
      </c>
      <c r="D56" s="435">
        <f>'NPV Analysis'!D507</f>
        <v>455.24014129364343</v>
      </c>
      <c r="E56" s="436">
        <f>'NPV Analysis'!D508</f>
        <v>455240.14129364351</v>
      </c>
      <c r="F56" s="437">
        <f>G56/'NPV Analysis'!$B$4</f>
        <v>389.88836112206394</v>
      </c>
      <c r="G56" s="436">
        <f>'NPV Analysis'!D509</f>
        <v>389888.36112206394</v>
      </c>
      <c r="H56" s="437">
        <f>I56/'NPV Analysis'!$B$4</f>
        <v>55.559726912133726</v>
      </c>
      <c r="I56" s="438">
        <f>'NPV Analysis'!D510</f>
        <v>55559.726912133723</v>
      </c>
      <c r="J56" s="437">
        <f>K56/'NPV Analysis'!$B$4</f>
        <v>9.7920532594457761</v>
      </c>
      <c r="K56" s="436">
        <f>'NPV Analysis'!D511</f>
        <v>9792.0532594457763</v>
      </c>
      <c r="L56" s="495">
        <f>M56/'NPV Analysis'!$B$4</f>
        <v>-27.758460539589578</v>
      </c>
      <c r="M56" s="503">
        <f>'NPV Analysis'!D512*-1</f>
        <v>-27758.460539589578</v>
      </c>
      <c r="N56" s="996"/>
      <c r="O56" s="398" t="s">
        <v>330</v>
      </c>
      <c r="P56" s="439">
        <f>'NPV Analysis'!C507</f>
        <v>404.0592440209092</v>
      </c>
      <c r="Q56" s="440">
        <f>'NPV Analysis'!C508</f>
        <v>404059.24402090919</v>
      </c>
      <c r="R56" s="441">
        <f>S56/'NPV Analysis'!$B$4</f>
        <v>346.79159888152947</v>
      </c>
      <c r="S56" s="440">
        <f>'NPV Analysis'!C509</f>
        <v>346791.59888152947</v>
      </c>
      <c r="T56" s="441">
        <f>U56/'NPV Analysis'!$B$4</f>
        <v>48.689530606256184</v>
      </c>
      <c r="U56" s="442">
        <f>'NPV Analysis'!C510</f>
        <v>48689.530606256187</v>
      </c>
      <c r="V56" s="441">
        <f>W56/'NPV Analysis'!$B$4</f>
        <v>8.5781145331235518</v>
      </c>
      <c r="W56" s="440">
        <f>'NPV Analysis'!C511</f>
        <v>8578.1145331235512</v>
      </c>
      <c r="X56" s="511">
        <f>Y56/'NPV Analysis'!$B$4</f>
        <v>-70.855222780124052</v>
      </c>
      <c r="Y56" s="519">
        <f>'NPV Analysis'!C512*-1</f>
        <v>-70855.222780124051</v>
      </c>
      <c r="Z56" s="996"/>
      <c r="AA56" s="398" t="s">
        <v>330</v>
      </c>
      <c r="AB56" s="443">
        <f>'NPV Analysis'!B507</f>
        <v>331.09010211392069</v>
      </c>
      <c r="AC56" s="444">
        <f>'NPV Analysis'!B508</f>
        <v>331090.10211392073</v>
      </c>
      <c r="AD56" s="443">
        <f>AE56/'NPV Analysis'!$B$4</f>
        <v>282</v>
      </c>
      <c r="AE56" s="444">
        <f>'NPV Analysis'!B509</f>
        <v>282000</v>
      </c>
      <c r="AF56" s="443">
        <f>AG56/'NPV Analysis'!$B$4</f>
        <v>42.018653408271021</v>
      </c>
      <c r="AG56" s="445">
        <f>'NPV Analysis'!B510</f>
        <v>42018.65340827102</v>
      </c>
      <c r="AH56" s="443">
        <f>AI56/'NPV Analysis'!$B$4</f>
        <v>7.0714487056497299</v>
      </c>
      <c r="AI56" s="444">
        <f>'NPV Analysis'!B511</f>
        <v>7071.4487056497301</v>
      </c>
      <c r="AJ56" s="527">
        <f>AK56/'NPV Analysis'!$B$4</f>
        <v>5.468531277199079E-14</v>
      </c>
      <c r="AK56" s="535">
        <f>'NPV Analysis'!B512*-1</f>
        <v>5.4685312771990788E-11</v>
      </c>
      <c r="AL56" s="996"/>
      <c r="AM56" s="398" t="s">
        <v>330</v>
      </c>
      <c r="AN56" s="448">
        <f>AB56</f>
        <v>331.09010211392069</v>
      </c>
      <c r="AO56" s="449">
        <f>P56</f>
        <v>404.0592440209092</v>
      </c>
      <c r="AP56" s="446">
        <f>D56</f>
        <v>455.24014129364343</v>
      </c>
      <c r="AQ56" s="450">
        <f>AD56</f>
        <v>282</v>
      </c>
      <c r="AR56" s="451">
        <f>R56</f>
        <v>346.79159888152947</v>
      </c>
      <c r="AS56" s="452">
        <f>F56</f>
        <v>389.88836112206394</v>
      </c>
      <c r="AT56" s="448">
        <f>AF56</f>
        <v>42.018653408271021</v>
      </c>
      <c r="AU56" s="449">
        <f>T56</f>
        <v>48.689530606256184</v>
      </c>
      <c r="AV56" s="446">
        <f>H56</f>
        <v>55.559726912133726</v>
      </c>
      <c r="AW56" s="450">
        <f>AH56</f>
        <v>7.0714487056497299</v>
      </c>
      <c r="AX56" s="451">
        <f>V56</f>
        <v>8.5781145331235518</v>
      </c>
      <c r="AY56" s="452">
        <f>J56</f>
        <v>9.7920532594457761</v>
      </c>
      <c r="AZ56" s="475" t="s">
        <v>330</v>
      </c>
    </row>
    <row r="57" spans="1:52" ht="35" customHeight="1" thickTop="1" thickBot="1">
      <c r="A57" s="488">
        <f>IF(Results!$A$3=25,'NPV Summary'!D57,IF(Results!$A$3=20,'NPV Summary'!P57,'NPV Summary'!AB57))</f>
        <v>530.02871376337794</v>
      </c>
      <c r="B57" s="991"/>
      <c r="C57" s="399" t="s">
        <v>331</v>
      </c>
      <c r="D57" s="453">
        <f>'NPV Analysis'!D550</f>
        <v>602.49211512730687</v>
      </c>
      <c r="E57" s="454">
        <f>'NPV Analysis'!D551</f>
        <v>602492.1151273069</v>
      </c>
      <c r="F57" s="455">
        <f>G57/'NPV Analysis'!$B$4</f>
        <v>506.02531975416809</v>
      </c>
      <c r="G57" s="454">
        <f>'NPV Analysis'!D552</f>
        <v>506025.3197541681</v>
      </c>
      <c r="H57" s="455">
        <f>I57/'NPV Analysis'!$B$4</f>
        <v>86.674742113693199</v>
      </c>
      <c r="I57" s="456">
        <f>'NPV Analysis'!D553</f>
        <v>86674.742113693195</v>
      </c>
      <c r="J57" s="455">
        <f>K57/'NPV Analysis'!$B$4</f>
        <v>9.7920532594457761</v>
      </c>
      <c r="K57" s="454">
        <f>'NPV Analysis'!D554</f>
        <v>9792.0532594457763</v>
      </c>
      <c r="L57" s="496">
        <f>M57/'NPV Analysis'!$B$4</f>
        <v>-36.026938147127012</v>
      </c>
      <c r="M57" s="504">
        <f>'NPV Analysis'!D555*-1</f>
        <v>-36026.93814712701</v>
      </c>
      <c r="N57" s="997"/>
      <c r="O57" s="399" t="s">
        <v>331</v>
      </c>
      <c r="P57" s="457">
        <f>'NPV Analysis'!C550</f>
        <v>530.02871376337794</v>
      </c>
      <c r="Q57" s="458">
        <f>'NPV Analysis'!C551</f>
        <v>530028.71376337786</v>
      </c>
      <c r="R57" s="459">
        <f>S57/'NPV Analysis'!$B$4</f>
        <v>450.09122408028293</v>
      </c>
      <c r="S57" s="458">
        <f>'NPV Analysis'!C552</f>
        <v>450091.2240802829</v>
      </c>
      <c r="T57" s="459">
        <f>U57/'NPV Analysis'!$B$4</f>
        <v>71.359375149971626</v>
      </c>
      <c r="U57" s="460">
        <f>'NPV Analysis'!C553</f>
        <v>71359.375149971631</v>
      </c>
      <c r="V57" s="459">
        <f>W57/'NPV Analysis'!$B$4</f>
        <v>8.5781145331235518</v>
      </c>
      <c r="W57" s="458">
        <f>'NPV Analysis'!C554</f>
        <v>8578.1145331235512</v>
      </c>
      <c r="X57" s="512">
        <f>Y57/'NPV Analysis'!$B$4</f>
        <v>-91.961033821012194</v>
      </c>
      <c r="Y57" s="520">
        <f>'NPV Analysis'!C555*-1</f>
        <v>-91961.033821012199</v>
      </c>
      <c r="Z57" s="997"/>
      <c r="AA57" s="399" t="s">
        <v>331</v>
      </c>
      <c r="AB57" s="461">
        <f>'NPV Analysis'!B550</f>
        <v>427.60629674617155</v>
      </c>
      <c r="AC57" s="462">
        <f>'NPV Analysis'!B551</f>
        <v>427606.29674617155</v>
      </c>
      <c r="AD57" s="461">
        <f>AE57/'NPV Analysis'!$B$4</f>
        <v>366</v>
      </c>
      <c r="AE57" s="462">
        <f>'NPV Analysis'!B552</f>
        <v>366000</v>
      </c>
      <c r="AF57" s="461">
        <f>AG57/'NPV Analysis'!$B$4</f>
        <v>54.534848040521965</v>
      </c>
      <c r="AG57" s="463">
        <f>'NPV Analysis'!B553</f>
        <v>54534.848040521967</v>
      </c>
      <c r="AH57" s="461">
        <f>AI57/'NPV Analysis'!$B$4</f>
        <v>7.0714487056497299</v>
      </c>
      <c r="AI57" s="462">
        <f>'NPV Analysis'!B554</f>
        <v>7071.4487056497301</v>
      </c>
      <c r="AJ57" s="528">
        <f>AK57/'NPV Analysis'!$B$4</f>
        <v>-2.7342656385995395E-14</v>
      </c>
      <c r="AK57" s="536">
        <f>'NPV Analysis'!B555*-1</f>
        <v>-2.7342656385995394E-11</v>
      </c>
      <c r="AL57" s="997"/>
      <c r="AM57" s="399" t="s">
        <v>331</v>
      </c>
      <c r="AN57" s="465">
        <f>AB57</f>
        <v>427.60629674617155</v>
      </c>
      <c r="AO57" s="466">
        <f t="shared" si="1"/>
        <v>530.02871376337794</v>
      </c>
      <c r="AP57" s="464">
        <f t="shared" si="2"/>
        <v>602.49211512730687</v>
      </c>
      <c r="AQ57" s="467">
        <f t="shared" si="3"/>
        <v>366</v>
      </c>
      <c r="AR57" s="468">
        <f t="shared" si="4"/>
        <v>450.09122408028293</v>
      </c>
      <c r="AS57" s="469">
        <f t="shared" si="5"/>
        <v>506.02531975416809</v>
      </c>
      <c r="AT57" s="465">
        <f t="shared" si="6"/>
        <v>54.534848040521965</v>
      </c>
      <c r="AU57" s="466">
        <f t="shared" si="7"/>
        <v>71.359375149971626</v>
      </c>
      <c r="AV57" s="464">
        <f t="shared" si="8"/>
        <v>86.674742113693199</v>
      </c>
      <c r="AW57" s="467">
        <f>AH57</f>
        <v>7.0714487056497299</v>
      </c>
      <c r="AX57" s="468">
        <f t="shared" si="10"/>
        <v>8.5781145331235518</v>
      </c>
      <c r="AY57" s="469">
        <f t="shared" si="11"/>
        <v>9.7920532594457761</v>
      </c>
      <c r="AZ57" s="476" t="s">
        <v>331</v>
      </c>
    </row>
    <row r="58" spans="1:52" ht="35" customHeight="1" thickTop="1" thickBot="1">
      <c r="A58" s="489">
        <f>IF(Results!$A$3=25,'NPV Summary'!D58,IF(Results!$A$3=20,'NPV Summary'!P58,'NPV Summary'!AB58))</f>
        <v>238.65504756578827</v>
      </c>
      <c r="B58" s="294"/>
      <c r="C58" s="295" t="s">
        <v>328</v>
      </c>
      <c r="D58" s="346">
        <f>'NPV Analysis'!D589</f>
        <v>256.63866515232297</v>
      </c>
      <c r="E58" s="339">
        <f>'NPV Analysis'!D590</f>
        <v>256638.66515232297</v>
      </c>
      <c r="F58" s="317">
        <f>G58/'NPV Analysis'!$B$4</f>
        <v>206.45887874609545</v>
      </c>
      <c r="G58" s="339">
        <f>'NPV Analysis'!D591</f>
        <v>206458.87874609546</v>
      </c>
      <c r="H58" s="317">
        <f>I58/'NPV Analysis'!$B$4</f>
        <v>15.170563731327292</v>
      </c>
      <c r="I58" s="347">
        <f>'NPV Analysis'!D592</f>
        <v>15170.563731327291</v>
      </c>
      <c r="J58" s="317">
        <f>K58/'NPV Analysis'!$B$4</f>
        <v>35.009222674900215</v>
      </c>
      <c r="K58" s="339">
        <f>'NPV Analysis'!D593</f>
        <v>35009.222674900215</v>
      </c>
      <c r="L58" s="497">
        <f>M58/'NPV Analysis'!$B$4</f>
        <v>-7.5794378069092199</v>
      </c>
      <c r="M58" s="505">
        <f>'NPV Analysis'!D594*-1</f>
        <v>-7579.4378069092199</v>
      </c>
      <c r="N58" s="294"/>
      <c r="O58" s="295" t="s">
        <v>328</v>
      </c>
      <c r="P58" s="366">
        <f>'NPV Analysis'!C589</f>
        <v>238.65504756578827</v>
      </c>
      <c r="Q58" s="367">
        <f>'NPV Analysis'!C590</f>
        <v>238655.04756578823</v>
      </c>
      <c r="R58" s="326">
        <f>S58/'NPV Analysis'!$B$4</f>
        <v>194.69132309885734</v>
      </c>
      <c r="S58" s="367">
        <f>'NPV Analysis'!C591</f>
        <v>194691.32309885733</v>
      </c>
      <c r="T58" s="326">
        <f>U58/'NPV Analysis'!$B$4</f>
        <v>13.294659066247254</v>
      </c>
      <c r="U58" s="368">
        <f>'NPV Analysis'!C592</f>
        <v>13294.659066247254</v>
      </c>
      <c r="V58" s="326">
        <f>W58/'NPV Analysis'!$B$4</f>
        <v>30.66906540068365</v>
      </c>
      <c r="W58" s="367">
        <f>'NPV Analysis'!C593</f>
        <v>30669.065400683648</v>
      </c>
      <c r="X58" s="513">
        <f>Y58/'NPV Analysis'!$B$4</f>
        <v>-19.346993454147356</v>
      </c>
      <c r="Y58" s="521">
        <f>'NPV Analysis'!C594*-1</f>
        <v>-19346.993454147356</v>
      </c>
      <c r="Z58" s="294"/>
      <c r="AA58" s="295" t="s">
        <v>328</v>
      </c>
      <c r="AB58" s="333">
        <f>'NPV Analysis'!B589</f>
        <v>213.75550846266586</v>
      </c>
      <c r="AC58" s="383">
        <f>'NPV Analysis'!B590</f>
        <v>213755.50846266586</v>
      </c>
      <c r="AD58" s="333">
        <f>AE58/'NPV Analysis'!$B$4</f>
        <v>177</v>
      </c>
      <c r="AE58" s="383">
        <f>'NPV Analysis'!B591</f>
        <v>177000</v>
      </c>
      <c r="AF58" s="333">
        <f>AG58/'NPV Analysis'!$B$4</f>
        <v>11.473178412896695</v>
      </c>
      <c r="AG58" s="384">
        <f>'NPV Analysis'!B592</f>
        <v>11473.178412896696</v>
      </c>
      <c r="AH58" s="333">
        <f>AI58/'NPV Analysis'!$B$4</f>
        <v>25.282330049769183</v>
      </c>
      <c r="AI58" s="383">
        <f>'NPV Analysis'!B593</f>
        <v>25282.330049769182</v>
      </c>
      <c r="AJ58" s="529">
        <f>AK58/'NPV Analysis'!$B$4</f>
        <v>6.8356640964988487E-15</v>
      </c>
      <c r="AK58" s="537">
        <f>'NPV Analysis'!B594*-1</f>
        <v>6.8356640964988485E-12</v>
      </c>
      <c r="AL58" s="352"/>
      <c r="AM58" s="295" t="s">
        <v>328</v>
      </c>
      <c r="AN58" s="394">
        <f t="shared" si="0"/>
        <v>213.75550846266586</v>
      </c>
      <c r="AO58" s="395">
        <f t="shared" si="1"/>
        <v>238.65504756578827</v>
      </c>
      <c r="AP58" s="374">
        <f t="shared" si="2"/>
        <v>256.63866515232297</v>
      </c>
      <c r="AQ58" s="415">
        <f t="shared" si="3"/>
        <v>177</v>
      </c>
      <c r="AR58" s="416">
        <f t="shared" si="4"/>
        <v>194.69132309885734</v>
      </c>
      <c r="AS58" s="417">
        <f t="shared" si="5"/>
        <v>206.45887874609545</v>
      </c>
      <c r="AT58" s="394">
        <f t="shared" si="6"/>
        <v>11.473178412896695</v>
      </c>
      <c r="AU58" s="395">
        <f t="shared" si="7"/>
        <v>13.294659066247254</v>
      </c>
      <c r="AV58" s="374">
        <f t="shared" si="8"/>
        <v>15.170563731327292</v>
      </c>
      <c r="AW58" s="415">
        <f t="shared" si="9"/>
        <v>25.282330049769183</v>
      </c>
      <c r="AX58" s="416">
        <f t="shared" si="10"/>
        <v>30.66906540068365</v>
      </c>
      <c r="AY58" s="417">
        <f t="shared" si="11"/>
        <v>35.009222674900215</v>
      </c>
      <c r="AZ58" s="477" t="s">
        <v>328</v>
      </c>
    </row>
    <row r="59" spans="1:52" ht="17" thickTop="1" thickBot="1"/>
    <row r="60" spans="1:52" ht="16" thickTop="1">
      <c r="A60" s="538">
        <v>15</v>
      </c>
    </row>
    <row r="61" spans="1:52">
      <c r="A61" s="539">
        <v>20</v>
      </c>
    </row>
    <row r="62" spans="1:52" ht="16" thickBot="1">
      <c r="A62" s="540">
        <v>25</v>
      </c>
    </row>
    <row r="63" spans="1:52" ht="16" thickTop="1"/>
  </sheetData>
  <sheetProtection selectLockedCells="1" selectUnlockedCells="1"/>
  <mergeCells count="29">
    <mergeCell ref="A35:A42"/>
    <mergeCell ref="B48:B51"/>
    <mergeCell ref="B45:B47"/>
    <mergeCell ref="N48:N51"/>
    <mergeCell ref="Z48:Z51"/>
    <mergeCell ref="N43:N44"/>
    <mergeCell ref="N52:N54"/>
    <mergeCell ref="AW43:AY43"/>
    <mergeCell ref="N55:N57"/>
    <mergeCell ref="N45:N47"/>
    <mergeCell ref="B52:B54"/>
    <mergeCell ref="B55:B57"/>
    <mergeCell ref="B43:B44"/>
    <mergeCell ref="AQ43:AS43"/>
    <mergeCell ref="AT43:AV43"/>
    <mergeCell ref="D43:M43"/>
    <mergeCell ref="Z55:Z57"/>
    <mergeCell ref="P43:Y43"/>
    <mergeCell ref="AL48:AL51"/>
    <mergeCell ref="AL52:AL54"/>
    <mergeCell ref="AL55:AL57"/>
    <mergeCell ref="Z52:Z54"/>
    <mergeCell ref="AZ43:AZ44"/>
    <mergeCell ref="AB43:AK43"/>
    <mergeCell ref="AL43:AL44"/>
    <mergeCell ref="AN43:AP43"/>
    <mergeCell ref="Z45:Z47"/>
    <mergeCell ref="Z43:Z44"/>
    <mergeCell ref="AL45:AL47"/>
  </mergeCells>
  <phoneticPr fontId="25" type="noConversion"/>
  <pageMargins left="0.16666666666666666" right="0.16666666666666666" top="0.43055555555555558" bottom="0.625" header="0.33333333333333331" footer="0.5"/>
  <pageSetup paperSize="9" orientation="landscape"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A1:AA605"/>
  <sheetViews>
    <sheetView topLeftCell="A563" workbookViewId="0">
      <selection activeCell="B575" sqref="B575"/>
    </sheetView>
  </sheetViews>
  <sheetFormatPr baseColWidth="10" defaultRowHeight="15" x14ac:dyDescent="0"/>
  <cols>
    <col min="1" max="1" width="39" customWidth="1"/>
    <col min="2" max="21" width="11.83203125" style="2" customWidth="1"/>
    <col min="22" max="28" width="11.83203125" customWidth="1"/>
  </cols>
  <sheetData>
    <row r="1" spans="1:27" ht="17" customHeight="1" thickTop="1" thickBot="1">
      <c r="A1" s="134" t="s">
        <v>276</v>
      </c>
      <c r="B1" s="1017" t="str">
        <f>Inputs!C1</f>
        <v>Alpha School</v>
      </c>
      <c r="C1" s="1018"/>
      <c r="D1" s="5"/>
      <c r="E1" s="5"/>
      <c r="F1" s="5"/>
      <c r="G1" s="5"/>
      <c r="H1" s="5"/>
      <c r="I1" s="5"/>
      <c r="J1" s="5"/>
      <c r="K1" s="5"/>
      <c r="L1" s="5"/>
      <c r="M1" s="5"/>
      <c r="N1" s="5"/>
      <c r="O1" s="5"/>
      <c r="P1" s="5"/>
      <c r="Q1" s="5"/>
      <c r="R1" s="5"/>
      <c r="S1" s="5"/>
      <c r="T1" s="5"/>
      <c r="U1" s="5"/>
      <c r="V1" s="4"/>
      <c r="W1" s="4"/>
      <c r="X1" s="4"/>
      <c r="Y1" s="4"/>
      <c r="Z1" s="4"/>
      <c r="AA1" s="4"/>
    </row>
    <row r="2" spans="1:27" ht="16" thickTop="1">
      <c r="A2" s="26" t="s">
        <v>277</v>
      </c>
      <c r="B2" s="1019" t="str">
        <f>Inputs!C2</f>
        <v>Climate_Zone_3</v>
      </c>
      <c r="C2" s="1020"/>
      <c r="D2" s="1021" t="s">
        <v>315</v>
      </c>
      <c r="E2" s="1022"/>
      <c r="F2" s="1023"/>
      <c r="G2" s="1024"/>
      <c r="H2" s="5"/>
      <c r="I2" s="5"/>
      <c r="J2" s="5"/>
      <c r="K2" s="5"/>
      <c r="L2" s="5"/>
      <c r="M2" s="5"/>
      <c r="N2" s="5"/>
      <c r="O2" s="5"/>
      <c r="P2" s="5"/>
      <c r="Q2" s="5"/>
      <c r="R2" s="5"/>
      <c r="S2" s="5"/>
      <c r="T2" s="5"/>
      <c r="U2" s="5"/>
      <c r="V2" s="4"/>
      <c r="W2" s="4"/>
      <c r="X2" s="4"/>
      <c r="Y2" s="4"/>
      <c r="Z2" s="4"/>
      <c r="AA2" s="4"/>
    </row>
    <row r="3" spans="1:27" ht="16" thickBot="1">
      <c r="A3" s="26" t="s">
        <v>278</v>
      </c>
      <c r="B3" s="1019" t="str">
        <f>Inputs!C3</f>
        <v>Nelson</v>
      </c>
      <c r="C3" s="1020"/>
      <c r="D3" s="1025"/>
      <c r="E3" s="1026"/>
      <c r="F3" s="1027"/>
      <c r="G3" s="1028"/>
      <c r="H3" s="5"/>
      <c r="I3" s="5"/>
      <c r="J3" s="5"/>
      <c r="K3" s="5"/>
      <c r="L3" s="5"/>
      <c r="M3" s="5"/>
      <c r="N3" s="5"/>
      <c r="O3" s="5"/>
      <c r="P3" s="5"/>
      <c r="Q3" s="5"/>
      <c r="R3" s="5"/>
      <c r="S3" s="5"/>
      <c r="T3" s="5"/>
      <c r="U3" s="5"/>
      <c r="V3" s="4"/>
      <c r="W3" s="4"/>
      <c r="X3" s="4"/>
      <c r="Y3" s="4"/>
      <c r="Z3" s="4"/>
      <c r="AA3" s="4"/>
    </row>
    <row r="4" spans="1:27" ht="17" thickTop="1">
      <c r="A4" s="26" t="s">
        <v>111</v>
      </c>
      <c r="B4" s="542">
        <f>Inputs!C4</f>
        <v>1000</v>
      </c>
      <c r="C4" s="543"/>
      <c r="D4"/>
      <c r="E4"/>
      <c r="F4"/>
      <c r="G4"/>
      <c r="H4"/>
      <c r="I4"/>
      <c r="J4"/>
      <c r="K4"/>
      <c r="L4"/>
      <c r="M4"/>
      <c r="N4"/>
      <c r="O4" s="5"/>
      <c r="P4" s="5"/>
      <c r="Q4" s="5"/>
      <c r="R4" s="5"/>
      <c r="S4" s="5"/>
      <c r="T4" s="5"/>
      <c r="U4" s="5"/>
      <c r="V4" s="4"/>
      <c r="W4" s="4"/>
      <c r="X4" s="4"/>
      <c r="Y4" s="4"/>
      <c r="Z4" s="4"/>
      <c r="AA4" s="4"/>
    </row>
    <row r="5" spans="1:27" ht="16" thickBot="1">
      <c r="A5" s="351" t="s">
        <v>32</v>
      </c>
      <c r="B5" s="544">
        <f>Inputs!C5</f>
        <v>0.05</v>
      </c>
      <c r="C5" s="545"/>
      <c r="D5"/>
      <c r="E5"/>
      <c r="F5"/>
      <c r="G5"/>
      <c r="H5"/>
      <c r="I5"/>
      <c r="J5"/>
      <c r="K5"/>
      <c r="L5"/>
      <c r="M5"/>
      <c r="N5"/>
      <c r="O5" s="5"/>
      <c r="P5" s="5"/>
      <c r="Q5" s="5"/>
      <c r="R5" s="5"/>
      <c r="S5" s="5"/>
      <c r="T5" s="5"/>
      <c r="U5" s="5"/>
      <c r="V5" s="4"/>
      <c r="W5" s="4"/>
      <c r="X5" s="4"/>
      <c r="Y5" s="4"/>
      <c r="Z5" s="4"/>
      <c r="AA5" s="4"/>
    </row>
    <row r="6" spans="1:27" ht="17" thickTop="1" thickBot="1">
      <c r="A6" s="483"/>
      <c r="B6" s="484"/>
      <c r="C6"/>
      <c r="D6"/>
      <c r="E6"/>
      <c r="F6"/>
      <c r="G6"/>
      <c r="H6"/>
      <c r="I6"/>
      <c r="J6"/>
      <c r="K6"/>
      <c r="L6"/>
      <c r="M6"/>
      <c r="N6"/>
      <c r="O6" s="5"/>
      <c r="P6" s="5"/>
      <c r="Q6" s="5"/>
      <c r="R6" s="5"/>
      <c r="S6" s="5"/>
      <c r="T6" s="5"/>
      <c r="U6" s="5"/>
      <c r="V6" s="4"/>
      <c r="W6" s="4"/>
      <c r="X6" s="4"/>
      <c r="Y6" s="4"/>
      <c r="Z6" s="4"/>
      <c r="AA6" s="4"/>
    </row>
    <row r="7" spans="1:27" ht="47" customHeight="1" thickTop="1" thickBot="1">
      <c r="A7" s="485" t="s">
        <v>304</v>
      </c>
      <c r="B7" s="546" t="str">
        <f>Inputs!C8</f>
        <v>No</v>
      </c>
      <c r="C7" s="1034" t="s">
        <v>453</v>
      </c>
      <c r="D7" s="1032"/>
      <c r="E7" s="1032"/>
      <c r="F7" s="1032"/>
      <c r="G7" s="1032"/>
      <c r="H7" s="1032"/>
      <c r="I7" s="1032"/>
      <c r="J7" s="1032"/>
      <c r="K7" s="1032"/>
      <c r="L7" s="1032"/>
      <c r="M7" s="1032"/>
      <c r="N7" s="1035"/>
      <c r="O7" s="5"/>
      <c r="P7" s="5"/>
      <c r="Q7" s="5"/>
      <c r="R7" s="5"/>
      <c r="S7" s="5"/>
      <c r="T7" s="5"/>
      <c r="U7" s="5"/>
      <c r="V7" s="4"/>
      <c r="W7" s="4"/>
      <c r="X7" s="4"/>
      <c r="Y7" s="4"/>
      <c r="Z7" s="4"/>
      <c r="AA7" s="4"/>
    </row>
    <row r="8" spans="1:27" ht="16" thickTop="1">
      <c r="A8" s="122"/>
      <c r="B8" s="482"/>
      <c r="C8" s="91"/>
      <c r="D8" s="91"/>
      <c r="E8" s="91"/>
      <c r="F8" s="91"/>
      <c r="G8" s="91"/>
      <c r="H8" s="91"/>
      <c r="I8" s="91"/>
      <c r="J8" s="91"/>
      <c r="K8" s="91"/>
      <c r="L8" s="91"/>
      <c r="M8" s="91"/>
      <c r="N8" s="5"/>
      <c r="O8" s="5"/>
      <c r="P8" s="5"/>
      <c r="Q8" s="5"/>
      <c r="R8" s="5"/>
      <c r="S8" s="5"/>
      <c r="T8" s="5"/>
      <c r="U8" s="5"/>
      <c r="V8" s="4"/>
      <c r="W8" s="4"/>
      <c r="X8" s="4"/>
      <c r="Y8" s="4"/>
      <c r="Z8" s="4"/>
      <c r="AA8" s="4"/>
    </row>
    <row r="9" spans="1:27" s="27" customFormat="1" ht="17" customHeight="1">
      <c r="A9" s="58"/>
      <c r="B9" s="237"/>
      <c r="C9" s="237"/>
      <c r="D9" s="237"/>
      <c r="E9" s="238"/>
      <c r="F9" s="238"/>
      <c r="G9" s="238"/>
      <c r="H9" s="239"/>
      <c r="I9" s="240"/>
      <c r="J9" s="240"/>
      <c r="K9" s="240"/>
      <c r="L9" s="240"/>
      <c r="M9" s="240"/>
      <c r="N9" s="240"/>
      <c r="O9" s="240"/>
      <c r="P9" s="240"/>
      <c r="Q9" s="240"/>
      <c r="R9" s="240"/>
      <c r="S9" s="240"/>
      <c r="T9" s="240"/>
      <c r="U9" s="240"/>
      <c r="V9" s="240"/>
      <c r="W9" s="240"/>
      <c r="X9" s="241"/>
      <c r="Y9" s="242"/>
      <c r="Z9" s="242"/>
      <c r="AA9" s="242"/>
    </row>
    <row r="10" spans="1:27" ht="17" customHeight="1" thickBot="1">
      <c r="A10" s="4"/>
      <c r="B10" s="5"/>
      <c r="C10" s="561"/>
      <c r="D10" s="549"/>
      <c r="E10" s="549"/>
      <c r="F10" s="549"/>
      <c r="G10" s="549"/>
      <c r="H10" s="549"/>
      <c r="I10" s="549"/>
      <c r="J10" s="549"/>
      <c r="K10" s="549"/>
      <c r="L10" s="549"/>
      <c r="M10" s="549"/>
      <c r="N10" s="549"/>
      <c r="O10" s="549"/>
      <c r="P10" s="549"/>
      <c r="Q10" s="549"/>
      <c r="R10" s="5"/>
      <c r="S10" s="5"/>
      <c r="T10" s="5"/>
      <c r="U10" s="5"/>
      <c r="V10" s="4"/>
      <c r="W10" s="4"/>
      <c r="X10" s="4"/>
      <c r="Y10" s="4"/>
      <c r="Z10" s="4"/>
      <c r="AA10" s="4"/>
    </row>
    <row r="11" spans="1:27" ht="35" customHeight="1" thickTop="1" thickBot="1">
      <c r="A11" s="1029" t="s">
        <v>343</v>
      </c>
      <c r="B11" s="1030"/>
      <c r="C11" s="1031" t="s">
        <v>435</v>
      </c>
      <c r="D11" s="1032"/>
      <c r="E11" s="1032"/>
      <c r="F11" s="1032"/>
      <c r="G11" s="1032"/>
      <c r="H11" s="1032"/>
      <c r="I11" s="1032"/>
      <c r="J11" s="1032"/>
      <c r="K11" s="1032"/>
      <c r="L11" s="1032"/>
      <c r="M11" s="1032"/>
      <c r="N11" s="1033"/>
      <c r="O11" s="562"/>
      <c r="P11" s="549"/>
      <c r="Q11" s="549"/>
      <c r="R11" s="149"/>
      <c r="S11" s="149"/>
      <c r="T11" s="149"/>
      <c r="U11" s="149"/>
      <c r="V11" s="149"/>
      <c r="W11" s="4"/>
      <c r="X11" s="4"/>
      <c r="Y11" s="4"/>
      <c r="Z11" s="4"/>
      <c r="AA11" s="4"/>
    </row>
    <row r="12" spans="1:27">
      <c r="A12" s="150" t="s">
        <v>83</v>
      </c>
      <c r="B12" s="657" t="str">
        <f>IF(OR(Inputs!E23="No",Inputs!$C$8="Yes"),"",Inputs!D18)</f>
        <v/>
      </c>
      <c r="C12" s="152" t="s">
        <v>193</v>
      </c>
      <c r="D12" s="149"/>
      <c r="E12" s="149"/>
      <c r="F12" s="149"/>
      <c r="G12" s="149"/>
      <c r="H12" s="149"/>
      <c r="I12" s="149"/>
      <c r="J12" s="149"/>
      <c r="K12" s="149"/>
      <c r="L12" s="149"/>
      <c r="M12" s="149"/>
      <c r="N12" s="149"/>
      <c r="O12" s="149"/>
      <c r="P12" s="149"/>
      <c r="Q12" s="149"/>
      <c r="R12" s="149"/>
      <c r="S12" s="149"/>
      <c r="T12" s="149"/>
      <c r="U12" s="149"/>
      <c r="V12" s="149"/>
      <c r="W12" s="4"/>
      <c r="X12" s="4"/>
      <c r="Y12" s="4"/>
      <c r="Z12" s="4"/>
      <c r="AA12" s="4"/>
    </row>
    <row r="13" spans="1:27">
      <c r="A13" s="150" t="s">
        <v>221</v>
      </c>
      <c r="B13" s="151">
        <v>0</v>
      </c>
      <c r="C13" s="152"/>
      <c r="D13" s="149"/>
      <c r="E13" s="149"/>
      <c r="F13" s="149"/>
      <c r="G13" s="149"/>
      <c r="H13" s="149"/>
      <c r="I13" s="149"/>
      <c r="J13" s="149"/>
      <c r="K13" s="149"/>
      <c r="L13" s="149"/>
      <c r="M13" s="149"/>
      <c r="N13" s="149"/>
      <c r="O13" s="149"/>
      <c r="P13" s="149"/>
      <c r="Q13" s="149"/>
      <c r="R13" s="149"/>
      <c r="S13" s="149"/>
      <c r="T13" s="149"/>
      <c r="U13" s="149"/>
      <c r="V13" s="149"/>
      <c r="W13" s="4"/>
      <c r="X13" s="4"/>
      <c r="Y13" s="4"/>
      <c r="Z13" s="4"/>
      <c r="AA13" s="4"/>
    </row>
    <row r="14" spans="1:27" ht="16">
      <c r="A14" s="150" t="s">
        <v>411</v>
      </c>
      <c r="B14" s="658">
        <f>Inputs!$D$11</f>
        <v>12</v>
      </c>
      <c r="C14" s="154" t="s">
        <v>290</v>
      </c>
      <c r="D14" s="149"/>
      <c r="E14" s="149"/>
      <c r="F14" s="149"/>
      <c r="G14" s="149"/>
      <c r="H14" s="149"/>
      <c r="I14" s="149"/>
      <c r="J14" s="149"/>
      <c r="K14" s="149"/>
      <c r="L14" s="149"/>
      <c r="M14" s="149"/>
      <c r="N14" s="149"/>
      <c r="O14" s="149"/>
      <c r="P14" s="149"/>
      <c r="Q14" s="149"/>
      <c r="R14" s="149"/>
      <c r="S14" s="149"/>
      <c r="T14" s="149"/>
      <c r="U14" s="149"/>
      <c r="V14" s="149"/>
      <c r="W14" s="4"/>
      <c r="X14" s="4"/>
      <c r="Y14" s="4"/>
      <c r="Z14" s="4"/>
      <c r="AA14" s="4"/>
    </row>
    <row r="15" spans="1:27">
      <c r="A15" s="150" t="s">
        <v>100</v>
      </c>
      <c r="B15" s="659">
        <f>Inputs!K23</f>
        <v>0.85</v>
      </c>
      <c r="C15" s="155" t="s">
        <v>196</v>
      </c>
      <c r="D15" s="149"/>
      <c r="E15" s="149"/>
      <c r="F15" s="149"/>
      <c r="G15" s="149"/>
      <c r="H15" s="149"/>
      <c r="I15" s="149"/>
      <c r="J15" s="149"/>
      <c r="K15" s="149"/>
      <c r="L15" s="149"/>
      <c r="M15" s="149"/>
      <c r="N15" s="149"/>
      <c r="O15" s="149"/>
      <c r="P15" s="149"/>
      <c r="Q15" s="149"/>
      <c r="R15" s="149"/>
      <c r="S15" s="149"/>
      <c r="T15" s="149"/>
      <c r="U15" s="149"/>
      <c r="V15" s="149"/>
      <c r="W15" s="4"/>
      <c r="X15" s="4"/>
      <c r="Y15" s="4"/>
      <c r="Z15" s="4"/>
      <c r="AA15" s="4"/>
    </row>
    <row r="16" spans="1:27">
      <c r="A16" s="150" t="s">
        <v>84</v>
      </c>
      <c r="B16" s="156">
        <f>'System Efficiencies'!C2</f>
        <v>0.95</v>
      </c>
      <c r="C16" s="155" t="s">
        <v>196</v>
      </c>
      <c r="D16" s="149"/>
      <c r="E16" s="149"/>
      <c r="F16" s="149"/>
      <c r="G16" s="149"/>
      <c r="H16" s="149"/>
      <c r="I16" s="149"/>
      <c r="J16" s="149"/>
      <c r="K16" s="149"/>
      <c r="L16" s="149"/>
      <c r="M16" s="149"/>
      <c r="N16" s="149"/>
      <c r="O16" s="149"/>
      <c r="P16" s="149"/>
      <c r="Q16" s="149"/>
      <c r="R16" s="149"/>
      <c r="S16" s="149"/>
      <c r="T16" s="149"/>
      <c r="U16" s="149"/>
      <c r="V16" s="149"/>
      <c r="W16" s="4"/>
      <c r="X16" s="4"/>
      <c r="Y16" s="4"/>
      <c r="Z16" s="4"/>
      <c r="AA16" s="4"/>
    </row>
    <row r="17" spans="1:27">
      <c r="A17" s="150" t="s">
        <v>99</v>
      </c>
      <c r="B17" s="659">
        <f>B16*B15</f>
        <v>0.8075</v>
      </c>
      <c r="C17" s="155" t="s">
        <v>196</v>
      </c>
      <c r="D17" s="149"/>
      <c r="E17" s="149"/>
      <c r="F17" s="149"/>
      <c r="G17" s="149"/>
      <c r="H17" s="149"/>
      <c r="I17" s="149"/>
      <c r="J17" s="149"/>
      <c r="K17" s="149"/>
      <c r="L17" s="149"/>
      <c r="M17" s="149"/>
      <c r="N17" s="149"/>
      <c r="O17" s="149"/>
      <c r="P17" s="149"/>
      <c r="Q17" s="149"/>
      <c r="R17" s="149"/>
      <c r="S17" s="149"/>
      <c r="T17" s="149"/>
      <c r="U17" s="149"/>
      <c r="V17" s="149"/>
      <c r="W17" s="4"/>
      <c r="X17" s="4"/>
      <c r="Y17" s="4"/>
      <c r="Z17" s="4"/>
      <c r="AA17" s="4"/>
    </row>
    <row r="18" spans="1:27" ht="16">
      <c r="A18" s="150" t="s">
        <v>82</v>
      </c>
      <c r="B18" s="658" t="str">
        <f>IF(Inputs!$C$8="Yes",0,Inputs!I23)</f>
        <v>N/A</v>
      </c>
      <c r="C18" s="157" t="s">
        <v>195</v>
      </c>
      <c r="D18" s="149"/>
      <c r="E18" s="149"/>
      <c r="F18" s="149"/>
      <c r="G18" s="149"/>
      <c r="H18" s="149"/>
      <c r="I18" s="149"/>
      <c r="J18" s="149"/>
      <c r="K18" s="149"/>
      <c r="L18" s="149"/>
      <c r="M18" s="149"/>
      <c r="N18" s="149"/>
      <c r="O18" s="149"/>
      <c r="P18" s="149"/>
      <c r="Q18" s="149"/>
      <c r="R18" s="149"/>
      <c r="S18" s="149"/>
      <c r="T18" s="149"/>
      <c r="U18" s="149"/>
      <c r="V18" s="149"/>
      <c r="W18" s="4"/>
      <c r="X18" s="4"/>
      <c r="Y18" s="4"/>
      <c r="Z18" s="4"/>
      <c r="AA18" s="4"/>
    </row>
    <row r="19" spans="1:27">
      <c r="A19" s="150" t="s">
        <v>81</v>
      </c>
      <c r="B19" s="153">
        <f>'Capital Cost Structure'!E2</f>
        <v>25</v>
      </c>
      <c r="C19" s="157" t="s">
        <v>195</v>
      </c>
      <c r="D19" s="149"/>
      <c r="E19" s="149"/>
      <c r="F19" s="149"/>
      <c r="G19" s="149"/>
      <c r="H19" s="149"/>
      <c r="I19" s="149"/>
      <c r="J19" s="149"/>
      <c r="K19" s="149"/>
      <c r="L19" s="149"/>
      <c r="M19" s="149"/>
      <c r="N19" s="149"/>
      <c r="O19" s="149"/>
      <c r="P19" s="149"/>
      <c r="Q19" s="149"/>
      <c r="R19" s="149"/>
      <c r="S19" s="149"/>
      <c r="T19" s="149"/>
      <c r="U19" s="149"/>
      <c r="V19" s="149"/>
      <c r="W19" s="4"/>
      <c r="X19" s="4"/>
      <c r="Y19" s="4"/>
      <c r="Z19" s="4"/>
      <c r="AA19" s="4"/>
    </row>
    <row r="20" spans="1:27">
      <c r="A20" s="150" t="s">
        <v>32</v>
      </c>
      <c r="B20" s="153">
        <f>$B$5</f>
        <v>0.05</v>
      </c>
      <c r="C20" s="248" t="s">
        <v>194</v>
      </c>
      <c r="D20" s="149"/>
      <c r="E20" s="149"/>
      <c r="F20" s="149"/>
      <c r="G20" s="149"/>
      <c r="H20" s="149"/>
      <c r="I20" s="149"/>
      <c r="J20" s="149"/>
      <c r="K20" s="149"/>
      <c r="L20" s="149"/>
      <c r="M20" s="149"/>
      <c r="N20" s="149"/>
      <c r="O20" s="149"/>
      <c r="P20" s="149"/>
      <c r="Q20" s="149"/>
      <c r="R20" s="149"/>
      <c r="S20" s="149"/>
      <c r="T20" s="149"/>
      <c r="U20" s="149"/>
      <c r="V20" s="149"/>
      <c r="W20" s="4"/>
      <c r="X20" s="4"/>
      <c r="Y20" s="4"/>
      <c r="Z20" s="4"/>
      <c r="AA20" s="4"/>
    </row>
    <row r="21" spans="1:27" ht="16" thickBot="1">
      <c r="A21" s="159" t="s">
        <v>405</v>
      </c>
      <c r="B21" s="547">
        <f>Inputs!F23</f>
        <v>0</v>
      </c>
      <c r="C21" s="249" t="s">
        <v>194</v>
      </c>
      <c r="D21" s="160"/>
      <c r="E21" s="161"/>
      <c r="F21" s="161"/>
      <c r="G21" s="161"/>
      <c r="H21" s="161"/>
      <c r="I21" s="161"/>
      <c r="J21" s="161"/>
      <c r="K21" s="161"/>
      <c r="L21" s="161"/>
      <c r="M21" s="161"/>
      <c r="N21" s="161"/>
      <c r="O21" s="161"/>
      <c r="P21" s="161"/>
      <c r="Q21" s="161"/>
      <c r="R21" s="161"/>
      <c r="S21" s="161"/>
      <c r="T21" s="161"/>
      <c r="U21" s="161"/>
      <c r="V21" s="161"/>
      <c r="W21" s="4"/>
      <c r="X21" s="4"/>
      <c r="Y21" s="4"/>
      <c r="Z21" s="4"/>
      <c r="AA21" s="4"/>
    </row>
    <row r="22" spans="1:27" ht="17" thickTop="1" thickBot="1">
      <c r="A22" s="6" t="s">
        <v>0</v>
      </c>
      <c r="B22" s="139" t="s">
        <v>51</v>
      </c>
      <c r="C22" s="117" t="s">
        <v>1</v>
      </c>
      <c r="D22" s="117" t="s">
        <v>2</v>
      </c>
      <c r="E22" s="117" t="s">
        <v>3</v>
      </c>
      <c r="F22" s="117" t="s">
        <v>4</v>
      </c>
      <c r="G22" s="117" t="s">
        <v>5</v>
      </c>
      <c r="H22" s="117" t="s">
        <v>6</v>
      </c>
      <c r="I22" s="117" t="s">
        <v>7</v>
      </c>
      <c r="J22" s="117" t="s">
        <v>8</v>
      </c>
      <c r="K22" s="117" t="s">
        <v>9</v>
      </c>
      <c r="L22" s="117" t="s">
        <v>10</v>
      </c>
      <c r="M22" s="117" t="s">
        <v>11</v>
      </c>
      <c r="N22" s="117" t="s">
        <v>12</v>
      </c>
      <c r="O22" s="117" t="s">
        <v>13</v>
      </c>
      <c r="P22" s="117" t="s">
        <v>14</v>
      </c>
      <c r="Q22" s="162" t="s">
        <v>15</v>
      </c>
      <c r="R22" s="139" t="s">
        <v>16</v>
      </c>
      <c r="S22" s="117" t="s">
        <v>17</v>
      </c>
      <c r="T22" s="117" t="s">
        <v>18</v>
      </c>
      <c r="U22" s="117" t="s">
        <v>19</v>
      </c>
      <c r="V22" s="221" t="s">
        <v>20</v>
      </c>
      <c r="W22" s="119" t="s">
        <v>93</v>
      </c>
      <c r="X22" s="120" t="s">
        <v>94</v>
      </c>
      <c r="Y22" s="120" t="s">
        <v>95</v>
      </c>
      <c r="Z22" s="120" t="s">
        <v>96</v>
      </c>
      <c r="AA22" s="222" t="s">
        <v>97</v>
      </c>
    </row>
    <row r="23" spans="1:27" ht="16">
      <c r="A23" s="167" t="s">
        <v>314</v>
      </c>
      <c r="B23" s="168" t="e">
        <f>B18*(1-Inputs!G23)</f>
        <v>#VALUE!</v>
      </c>
      <c r="C23" s="169"/>
      <c r="D23" s="169"/>
      <c r="E23" s="169"/>
      <c r="F23" s="169"/>
      <c r="G23" s="169"/>
      <c r="H23" s="169"/>
      <c r="I23" s="169"/>
      <c r="J23" s="169"/>
      <c r="K23" s="169"/>
      <c r="L23" s="169"/>
      <c r="M23" s="169"/>
      <c r="N23" s="169"/>
      <c r="O23" s="169"/>
      <c r="P23" s="169"/>
      <c r="Q23" s="170"/>
      <c r="R23" s="171"/>
      <c r="S23" s="169"/>
      <c r="T23" s="169"/>
      <c r="U23" s="169"/>
      <c r="V23" s="223"/>
      <c r="W23" s="224"/>
      <c r="X23" s="169"/>
      <c r="Y23" s="169"/>
      <c r="Z23" s="169"/>
      <c r="AA23" s="173"/>
    </row>
    <row r="24" spans="1:27">
      <c r="A24" s="6" t="s">
        <v>270</v>
      </c>
      <c r="B24" s="139"/>
      <c r="C24" s="7"/>
      <c r="D24" s="7"/>
      <c r="E24" s="7"/>
      <c r="F24" s="7"/>
      <c r="G24" s="269" t="s">
        <v>134</v>
      </c>
      <c r="H24" s="127"/>
      <c r="I24" s="127"/>
      <c r="J24" s="127"/>
      <c r="K24" s="127"/>
      <c r="L24" s="269" t="s">
        <v>376</v>
      </c>
      <c r="M24" s="7"/>
      <c r="N24" s="7"/>
      <c r="O24" s="7"/>
      <c r="P24" s="7"/>
      <c r="Q24" s="162" t="s">
        <v>377</v>
      </c>
      <c r="R24" s="174"/>
      <c r="S24" s="7"/>
      <c r="T24" s="7"/>
      <c r="U24" s="7"/>
      <c r="V24" s="221" t="s">
        <v>376</v>
      </c>
      <c r="W24" s="16"/>
      <c r="X24" s="7"/>
      <c r="Y24" s="7"/>
      <c r="Z24" s="7"/>
      <c r="AA24" s="175"/>
    </row>
    <row r="25" spans="1:27" ht="16">
      <c r="A25" s="6" t="s">
        <v>38</v>
      </c>
      <c r="B25" s="139">
        <v>0</v>
      </c>
      <c r="C25" s="7"/>
      <c r="D25" s="7"/>
      <c r="E25" s="7"/>
      <c r="F25" s="7"/>
      <c r="G25" s="651" t="e">
        <f>('Capital Cost Structure'!F7*B18)</f>
        <v>#VALUE!</v>
      </c>
      <c r="H25" s="7"/>
      <c r="I25" s="7"/>
      <c r="J25" s="7"/>
      <c r="K25" s="7"/>
      <c r="L25" s="652" t="e">
        <f>('Capital Cost Structure'!F7*B18)+('Capital Cost Structure'!F6*B18)</f>
        <v>#VALUE!</v>
      </c>
      <c r="M25" s="7"/>
      <c r="N25" s="7"/>
      <c r="O25" s="7"/>
      <c r="P25" s="7"/>
      <c r="Q25" s="653" t="e">
        <f>('Capital Cost Structure'!F7*B18)+('Capital Cost Structure'!F8*B18)+('Capital Cost Structure'!F3*B18)</f>
        <v>#VALUE!</v>
      </c>
      <c r="R25" s="174"/>
      <c r="S25" s="7"/>
      <c r="T25" s="7"/>
      <c r="U25" s="7"/>
      <c r="V25" s="655" t="e">
        <f>('Capital Cost Structure'!F7*B18)+('Capital Cost Structure'!F6*B18)</f>
        <v>#VALUE!</v>
      </c>
      <c r="W25" s="16"/>
      <c r="X25" s="7"/>
      <c r="Y25" s="7"/>
      <c r="Z25" s="7"/>
      <c r="AA25" s="175"/>
    </row>
    <row r="26" spans="1:27">
      <c r="A26" s="6" t="s">
        <v>50</v>
      </c>
      <c r="B26" s="478" t="e">
        <f>B23</f>
        <v>#VALUE!</v>
      </c>
      <c r="C26" s="177" t="e">
        <f>B26+C25-($B$23/$B$19)</f>
        <v>#VALUE!</v>
      </c>
      <c r="D26" s="177" t="e">
        <f>C26+D25-($B$23/$B$19)</f>
        <v>#VALUE!</v>
      </c>
      <c r="E26" s="177" t="e">
        <f t="shared" ref="E26:AA26" si="0">D26+E25-($B$23/$B$19)</f>
        <v>#VALUE!</v>
      </c>
      <c r="F26" s="177" t="e">
        <f t="shared" si="0"/>
        <v>#VALUE!</v>
      </c>
      <c r="G26" s="7" t="e">
        <f t="shared" si="0"/>
        <v>#VALUE!</v>
      </c>
      <c r="H26" s="7" t="e">
        <f t="shared" si="0"/>
        <v>#VALUE!</v>
      </c>
      <c r="I26" s="7" t="e">
        <f t="shared" si="0"/>
        <v>#VALUE!</v>
      </c>
      <c r="J26" s="7" t="e">
        <f t="shared" si="0"/>
        <v>#VALUE!</v>
      </c>
      <c r="K26" s="7" t="e">
        <f t="shared" si="0"/>
        <v>#VALUE!</v>
      </c>
      <c r="L26" s="7" t="e">
        <f t="shared" si="0"/>
        <v>#VALUE!</v>
      </c>
      <c r="M26" s="7" t="e">
        <f t="shared" si="0"/>
        <v>#VALUE!</v>
      </c>
      <c r="N26" s="7" t="e">
        <f t="shared" si="0"/>
        <v>#VALUE!</v>
      </c>
      <c r="O26" s="7" t="e">
        <f t="shared" si="0"/>
        <v>#VALUE!</v>
      </c>
      <c r="P26" s="7" t="e">
        <f t="shared" si="0"/>
        <v>#VALUE!</v>
      </c>
      <c r="Q26" s="104" t="e">
        <f t="shared" si="0"/>
        <v>#VALUE!</v>
      </c>
      <c r="R26" s="174" t="e">
        <f t="shared" si="0"/>
        <v>#VALUE!</v>
      </c>
      <c r="S26" s="7" t="e">
        <f t="shared" si="0"/>
        <v>#VALUE!</v>
      </c>
      <c r="T26" s="7" t="e">
        <f t="shared" si="0"/>
        <v>#VALUE!</v>
      </c>
      <c r="U26" s="7" t="e">
        <f t="shared" si="0"/>
        <v>#VALUE!</v>
      </c>
      <c r="V26" s="225" t="e">
        <f t="shared" si="0"/>
        <v>#VALUE!</v>
      </c>
      <c r="W26" s="16" t="e">
        <f t="shared" si="0"/>
        <v>#VALUE!</v>
      </c>
      <c r="X26" s="7" t="e">
        <f t="shared" si="0"/>
        <v>#VALUE!</v>
      </c>
      <c r="Y26" s="7" t="e">
        <f t="shared" si="0"/>
        <v>#VALUE!</v>
      </c>
      <c r="Z26" s="7" t="e">
        <f t="shared" si="0"/>
        <v>#VALUE!</v>
      </c>
      <c r="AA26" s="178" t="e">
        <f t="shared" si="0"/>
        <v>#VALUE!</v>
      </c>
    </row>
    <row r="27" spans="1:27" ht="16">
      <c r="A27" s="180" t="s">
        <v>22</v>
      </c>
      <c r="B27" s="181" t="e">
        <f>B23+B25+(B21/$B$4)</f>
        <v>#VALUE!</v>
      </c>
      <c r="C27" s="181">
        <f>C23+C25</f>
        <v>0</v>
      </c>
      <c r="D27" s="181">
        <f>D23+D25</f>
        <v>0</v>
      </c>
      <c r="E27" s="181">
        <f t="shared" ref="E27:AA27" si="1">E23+E25</f>
        <v>0</v>
      </c>
      <c r="F27" s="181">
        <f t="shared" si="1"/>
        <v>0</v>
      </c>
      <c r="G27" s="181" t="e">
        <f>G23+G25</f>
        <v>#VALUE!</v>
      </c>
      <c r="H27" s="181">
        <f t="shared" si="1"/>
        <v>0</v>
      </c>
      <c r="I27" s="181">
        <f t="shared" si="1"/>
        <v>0</v>
      </c>
      <c r="J27" s="181">
        <f t="shared" si="1"/>
        <v>0</v>
      </c>
      <c r="K27" s="181">
        <f t="shared" si="1"/>
        <v>0</v>
      </c>
      <c r="L27" s="181" t="e">
        <f t="shared" si="1"/>
        <v>#VALUE!</v>
      </c>
      <c r="M27" s="181">
        <f t="shared" si="1"/>
        <v>0</v>
      </c>
      <c r="N27" s="181">
        <f t="shared" si="1"/>
        <v>0</v>
      </c>
      <c r="O27" s="181">
        <f t="shared" si="1"/>
        <v>0</v>
      </c>
      <c r="P27" s="181">
        <f t="shared" si="1"/>
        <v>0</v>
      </c>
      <c r="Q27" s="182" t="e">
        <f t="shared" si="1"/>
        <v>#VALUE!</v>
      </c>
      <c r="R27" s="183">
        <f t="shared" si="1"/>
        <v>0</v>
      </c>
      <c r="S27" s="181">
        <f t="shared" si="1"/>
        <v>0</v>
      </c>
      <c r="T27" s="181">
        <f t="shared" si="1"/>
        <v>0</v>
      </c>
      <c r="U27" s="181">
        <f t="shared" si="1"/>
        <v>0</v>
      </c>
      <c r="V27" s="226" t="e">
        <f t="shared" si="1"/>
        <v>#VALUE!</v>
      </c>
      <c r="W27" s="227">
        <f t="shared" si="1"/>
        <v>0</v>
      </c>
      <c r="X27" s="181">
        <f t="shared" si="1"/>
        <v>0</v>
      </c>
      <c r="Y27" s="181">
        <f t="shared" si="1"/>
        <v>0</v>
      </c>
      <c r="Z27" s="181">
        <f t="shared" si="1"/>
        <v>0</v>
      </c>
      <c r="AA27" s="182">
        <f t="shared" si="1"/>
        <v>0</v>
      </c>
    </row>
    <row r="28" spans="1:27" s="10" customFormat="1" ht="16" thickBot="1">
      <c r="A28" s="184" t="s">
        <v>87</v>
      </c>
      <c r="B28" s="185" t="e">
        <f>(B27*$B$4)</f>
        <v>#VALUE!</v>
      </c>
      <c r="C28" s="186">
        <f t="shared" ref="C28:AA28" si="2">C27*$B$4</f>
        <v>0</v>
      </c>
      <c r="D28" s="186">
        <f t="shared" si="2"/>
        <v>0</v>
      </c>
      <c r="E28" s="186">
        <f t="shared" si="2"/>
        <v>0</v>
      </c>
      <c r="F28" s="186">
        <f t="shared" si="2"/>
        <v>0</v>
      </c>
      <c r="G28" s="186" t="e">
        <f>G27*$B$4</f>
        <v>#VALUE!</v>
      </c>
      <c r="H28" s="186">
        <f t="shared" si="2"/>
        <v>0</v>
      </c>
      <c r="I28" s="186">
        <f t="shared" si="2"/>
        <v>0</v>
      </c>
      <c r="J28" s="186">
        <f t="shared" si="2"/>
        <v>0</v>
      </c>
      <c r="K28" s="186">
        <f t="shared" si="2"/>
        <v>0</v>
      </c>
      <c r="L28" s="186" t="e">
        <f t="shared" si="2"/>
        <v>#VALUE!</v>
      </c>
      <c r="M28" s="186">
        <f t="shared" si="2"/>
        <v>0</v>
      </c>
      <c r="N28" s="186">
        <f t="shared" si="2"/>
        <v>0</v>
      </c>
      <c r="O28" s="186">
        <f t="shared" si="2"/>
        <v>0</v>
      </c>
      <c r="P28" s="186">
        <f t="shared" si="2"/>
        <v>0</v>
      </c>
      <c r="Q28" s="187" t="e">
        <f t="shared" si="2"/>
        <v>#VALUE!</v>
      </c>
      <c r="R28" s="185">
        <f t="shared" si="2"/>
        <v>0</v>
      </c>
      <c r="S28" s="186">
        <f t="shared" si="2"/>
        <v>0</v>
      </c>
      <c r="T28" s="186">
        <f t="shared" si="2"/>
        <v>0</v>
      </c>
      <c r="U28" s="186">
        <f t="shared" si="2"/>
        <v>0</v>
      </c>
      <c r="V28" s="228" t="e">
        <f t="shared" si="2"/>
        <v>#VALUE!</v>
      </c>
      <c r="W28" s="229">
        <f t="shared" si="2"/>
        <v>0</v>
      </c>
      <c r="X28" s="186">
        <f t="shared" si="2"/>
        <v>0</v>
      </c>
      <c r="Y28" s="186">
        <f t="shared" si="2"/>
        <v>0</v>
      </c>
      <c r="Z28" s="186">
        <f t="shared" si="2"/>
        <v>0</v>
      </c>
      <c r="AA28" s="189">
        <f t="shared" si="2"/>
        <v>0</v>
      </c>
    </row>
    <row r="29" spans="1:27">
      <c r="A29" s="6"/>
      <c r="B29" s="139"/>
      <c r="C29" s="7"/>
      <c r="D29" s="7"/>
      <c r="E29" s="7"/>
      <c r="F29" s="7"/>
      <c r="G29" s="7"/>
      <c r="H29" s="7"/>
      <c r="I29" s="7"/>
      <c r="J29" s="7"/>
      <c r="K29" s="7"/>
      <c r="L29" s="7"/>
      <c r="M29" s="7"/>
      <c r="N29" s="7"/>
      <c r="O29" s="7"/>
      <c r="P29" s="7"/>
      <c r="Q29" s="104"/>
      <c r="R29" s="174"/>
      <c r="S29" s="7"/>
      <c r="T29" s="7"/>
      <c r="U29" s="7"/>
      <c r="V29" s="225"/>
      <c r="W29" s="16"/>
      <c r="X29" s="7"/>
      <c r="Y29" s="7"/>
      <c r="Z29" s="7"/>
      <c r="AA29" s="175"/>
    </row>
    <row r="30" spans="1:27">
      <c r="A30" s="6" t="s">
        <v>21</v>
      </c>
      <c r="B30" s="139">
        <v>0</v>
      </c>
      <c r="C30" s="17">
        <v>0.01</v>
      </c>
      <c r="D30" s="17">
        <f>C30+(0.01/($B$19-1))</f>
        <v>1.0416666666666666E-2</v>
      </c>
      <c r="E30" s="17">
        <f t="shared" ref="E30:AA30" si="3">D30+(0.01/($B$19-1))</f>
        <v>1.0833333333333332E-2</v>
      </c>
      <c r="F30" s="17">
        <f t="shared" si="3"/>
        <v>1.1249999999999998E-2</v>
      </c>
      <c r="G30" s="17">
        <f t="shared" si="3"/>
        <v>1.1666666666666664E-2</v>
      </c>
      <c r="H30" s="17">
        <f t="shared" si="3"/>
        <v>1.208333333333333E-2</v>
      </c>
      <c r="I30" s="17">
        <f t="shared" si="3"/>
        <v>1.2499999999999995E-2</v>
      </c>
      <c r="J30" s="17">
        <f t="shared" si="3"/>
        <v>1.2916666666666661E-2</v>
      </c>
      <c r="K30" s="17">
        <f t="shared" si="3"/>
        <v>1.3333333333333327E-2</v>
      </c>
      <c r="L30" s="17">
        <f t="shared" si="3"/>
        <v>1.3749999999999993E-2</v>
      </c>
      <c r="M30" s="17">
        <f t="shared" si="3"/>
        <v>1.4166666666666659E-2</v>
      </c>
      <c r="N30" s="17">
        <f>M30+(0.01/($B$19-1))</f>
        <v>1.4583333333333325E-2</v>
      </c>
      <c r="O30" s="17">
        <f t="shared" si="3"/>
        <v>1.4999999999999991E-2</v>
      </c>
      <c r="P30" s="17">
        <f t="shared" si="3"/>
        <v>1.5416666666666657E-2</v>
      </c>
      <c r="Q30" s="190">
        <f t="shared" si="3"/>
        <v>1.5833333333333324E-2</v>
      </c>
      <c r="R30" s="191">
        <f t="shared" si="3"/>
        <v>1.624999999999999E-2</v>
      </c>
      <c r="S30" s="17">
        <f t="shared" si="3"/>
        <v>1.6666666666666656E-2</v>
      </c>
      <c r="T30" s="17">
        <f t="shared" si="3"/>
        <v>1.7083333333333322E-2</v>
      </c>
      <c r="U30" s="17">
        <f t="shared" si="3"/>
        <v>1.7499999999999988E-2</v>
      </c>
      <c r="V30" s="230">
        <f t="shared" si="3"/>
        <v>1.7916666666666654E-2</v>
      </c>
      <c r="W30" s="231">
        <f t="shared" si="3"/>
        <v>1.833333333333332E-2</v>
      </c>
      <c r="X30" s="17">
        <f t="shared" si="3"/>
        <v>1.8749999999999985E-2</v>
      </c>
      <c r="Y30" s="17">
        <f t="shared" si="3"/>
        <v>1.9166666666666651E-2</v>
      </c>
      <c r="Z30" s="17">
        <f t="shared" si="3"/>
        <v>1.9583333333333317E-2</v>
      </c>
      <c r="AA30" s="193">
        <f t="shared" si="3"/>
        <v>1.9999999999999983E-2</v>
      </c>
    </row>
    <row r="31" spans="1:27" ht="16">
      <c r="A31" s="180" t="s">
        <v>23</v>
      </c>
      <c r="B31" s="194" t="e">
        <f>B30*$B$18</f>
        <v>#VALUE!</v>
      </c>
      <c r="C31" s="194" t="e">
        <f>C30*$B$18</f>
        <v>#VALUE!</v>
      </c>
      <c r="D31" s="194" t="e">
        <f>D30*$B$18</f>
        <v>#VALUE!</v>
      </c>
      <c r="E31" s="194" t="e">
        <f t="shared" ref="E31:AA31" si="4">E30*$B$18</f>
        <v>#VALUE!</v>
      </c>
      <c r="F31" s="194" t="e">
        <f t="shared" si="4"/>
        <v>#VALUE!</v>
      </c>
      <c r="G31" s="194" t="e">
        <f t="shared" si="4"/>
        <v>#VALUE!</v>
      </c>
      <c r="H31" s="194" t="e">
        <f t="shared" si="4"/>
        <v>#VALUE!</v>
      </c>
      <c r="I31" s="194" t="e">
        <f t="shared" si="4"/>
        <v>#VALUE!</v>
      </c>
      <c r="J31" s="194" t="e">
        <f t="shared" si="4"/>
        <v>#VALUE!</v>
      </c>
      <c r="K31" s="194" t="e">
        <f t="shared" si="4"/>
        <v>#VALUE!</v>
      </c>
      <c r="L31" s="194" t="e">
        <f t="shared" si="4"/>
        <v>#VALUE!</v>
      </c>
      <c r="M31" s="194" t="e">
        <f t="shared" si="4"/>
        <v>#VALUE!</v>
      </c>
      <c r="N31" s="194" t="e">
        <f t="shared" si="4"/>
        <v>#VALUE!</v>
      </c>
      <c r="O31" s="194" t="e">
        <f t="shared" si="4"/>
        <v>#VALUE!</v>
      </c>
      <c r="P31" s="194" t="e">
        <f t="shared" si="4"/>
        <v>#VALUE!</v>
      </c>
      <c r="Q31" s="195" t="e">
        <f t="shared" si="4"/>
        <v>#VALUE!</v>
      </c>
      <c r="R31" s="196" t="e">
        <f t="shared" si="4"/>
        <v>#VALUE!</v>
      </c>
      <c r="S31" s="194" t="e">
        <f t="shared" si="4"/>
        <v>#VALUE!</v>
      </c>
      <c r="T31" s="194" t="e">
        <f t="shared" si="4"/>
        <v>#VALUE!</v>
      </c>
      <c r="U31" s="194" t="e">
        <f t="shared" si="4"/>
        <v>#VALUE!</v>
      </c>
      <c r="V31" s="232" t="e">
        <f t="shared" si="4"/>
        <v>#VALUE!</v>
      </c>
      <c r="W31" s="233" t="e">
        <f t="shared" si="4"/>
        <v>#VALUE!</v>
      </c>
      <c r="X31" s="194" t="e">
        <f t="shared" si="4"/>
        <v>#VALUE!</v>
      </c>
      <c r="Y31" s="194" t="e">
        <f t="shared" si="4"/>
        <v>#VALUE!</v>
      </c>
      <c r="Z31" s="194" t="e">
        <f t="shared" si="4"/>
        <v>#VALUE!</v>
      </c>
      <c r="AA31" s="195" t="e">
        <f t="shared" si="4"/>
        <v>#VALUE!</v>
      </c>
    </row>
    <row r="32" spans="1:27" ht="16" thickBot="1">
      <c r="A32" s="197" t="s">
        <v>88</v>
      </c>
      <c r="B32" s="279" t="e">
        <f>B31*$B$4</f>
        <v>#VALUE!</v>
      </c>
      <c r="C32" s="277" t="e">
        <f>C31*$B$4</f>
        <v>#VALUE!</v>
      </c>
      <c r="D32" s="277" t="e">
        <f>D31*$B$4</f>
        <v>#VALUE!</v>
      </c>
      <c r="E32" s="277" t="e">
        <f t="shared" ref="E32:V32" si="5">E31*$B$4</f>
        <v>#VALUE!</v>
      </c>
      <c r="F32" s="277" t="e">
        <f t="shared" si="5"/>
        <v>#VALUE!</v>
      </c>
      <c r="G32" s="277" t="e">
        <f t="shared" si="5"/>
        <v>#VALUE!</v>
      </c>
      <c r="H32" s="277" t="e">
        <f t="shared" si="5"/>
        <v>#VALUE!</v>
      </c>
      <c r="I32" s="277" t="e">
        <f t="shared" si="5"/>
        <v>#VALUE!</v>
      </c>
      <c r="J32" s="277" t="e">
        <f t="shared" si="5"/>
        <v>#VALUE!</v>
      </c>
      <c r="K32" s="277" t="e">
        <f t="shared" si="5"/>
        <v>#VALUE!</v>
      </c>
      <c r="L32" s="277" t="e">
        <f t="shared" si="5"/>
        <v>#VALUE!</v>
      </c>
      <c r="M32" s="277" t="e">
        <f t="shared" si="5"/>
        <v>#VALUE!</v>
      </c>
      <c r="N32" s="277" t="e">
        <f t="shared" si="5"/>
        <v>#VALUE!</v>
      </c>
      <c r="O32" s="277" t="e">
        <f t="shared" si="5"/>
        <v>#VALUE!</v>
      </c>
      <c r="P32" s="277" t="e">
        <f t="shared" si="5"/>
        <v>#VALUE!</v>
      </c>
      <c r="Q32" s="278" t="e">
        <f t="shared" si="5"/>
        <v>#VALUE!</v>
      </c>
      <c r="R32" s="279" t="e">
        <f t="shared" si="5"/>
        <v>#VALUE!</v>
      </c>
      <c r="S32" s="277" t="e">
        <f t="shared" si="5"/>
        <v>#VALUE!</v>
      </c>
      <c r="T32" s="277" t="e">
        <f t="shared" si="5"/>
        <v>#VALUE!</v>
      </c>
      <c r="U32" s="277" t="e">
        <f t="shared" si="5"/>
        <v>#VALUE!</v>
      </c>
      <c r="V32" s="289" t="e">
        <f t="shared" si="5"/>
        <v>#VALUE!</v>
      </c>
      <c r="W32" s="290" t="e">
        <f>W31*$B$4</f>
        <v>#VALUE!</v>
      </c>
      <c r="X32" s="277" t="e">
        <f>X31*$B$4</f>
        <v>#VALUE!</v>
      </c>
      <c r="Y32" s="277" t="e">
        <f>Y31*$B$4</f>
        <v>#VALUE!</v>
      </c>
      <c r="Z32" s="277" t="e">
        <f>Z31*$B$4</f>
        <v>#VALUE!</v>
      </c>
      <c r="AA32" s="281" t="e">
        <f>AA31*$B$4</f>
        <v>#VALUE!</v>
      </c>
    </row>
    <row r="33" spans="1:27">
      <c r="A33" s="199"/>
      <c r="B33" s="174"/>
      <c r="C33" s="7"/>
      <c r="D33" s="7"/>
      <c r="E33" s="7"/>
      <c r="F33" s="7"/>
      <c r="G33" s="7"/>
      <c r="H33" s="7"/>
      <c r="I33" s="7"/>
      <c r="J33" s="7"/>
      <c r="K33" s="7"/>
      <c r="L33" s="7"/>
      <c r="M33" s="7"/>
      <c r="N33" s="7"/>
      <c r="O33" s="7"/>
      <c r="P33" s="7"/>
      <c r="Q33" s="104"/>
      <c r="R33" s="174"/>
      <c r="S33" s="7"/>
      <c r="T33" s="7"/>
      <c r="U33" s="7"/>
      <c r="V33" s="225"/>
      <c r="W33" s="16"/>
      <c r="X33" s="7"/>
      <c r="Y33" s="7"/>
      <c r="Z33" s="7"/>
      <c r="AA33" s="175"/>
    </row>
    <row r="34" spans="1:27">
      <c r="A34" s="6" t="s">
        <v>25</v>
      </c>
      <c r="B34" s="139">
        <v>0</v>
      </c>
      <c r="C34" s="17" t="str">
        <f>B12</f>
        <v/>
      </c>
      <c r="D34" s="17" t="e">
        <f>C34+C35</f>
        <v>#VALUE!</v>
      </c>
      <c r="E34" s="17" t="e">
        <f>D34+D35</f>
        <v>#VALUE!</v>
      </c>
      <c r="F34" s="17" t="e">
        <f t="shared" ref="F34:AA34" si="6">E34+E35</f>
        <v>#VALUE!</v>
      </c>
      <c r="G34" s="17" t="e">
        <f t="shared" si="6"/>
        <v>#VALUE!</v>
      </c>
      <c r="H34" s="17" t="e">
        <f t="shared" si="6"/>
        <v>#VALUE!</v>
      </c>
      <c r="I34" s="17" t="e">
        <f t="shared" si="6"/>
        <v>#VALUE!</v>
      </c>
      <c r="J34" s="17" t="e">
        <f t="shared" si="6"/>
        <v>#VALUE!</v>
      </c>
      <c r="K34" s="17" t="e">
        <f t="shared" si="6"/>
        <v>#VALUE!</v>
      </c>
      <c r="L34" s="17" t="e">
        <f t="shared" si="6"/>
        <v>#VALUE!</v>
      </c>
      <c r="M34" s="17" t="e">
        <f t="shared" si="6"/>
        <v>#VALUE!</v>
      </c>
      <c r="N34" s="17" t="e">
        <f>M34+M35</f>
        <v>#VALUE!</v>
      </c>
      <c r="O34" s="17" t="e">
        <f t="shared" si="6"/>
        <v>#VALUE!</v>
      </c>
      <c r="P34" s="17" t="e">
        <f t="shared" si="6"/>
        <v>#VALUE!</v>
      </c>
      <c r="Q34" s="190" t="e">
        <f t="shared" si="6"/>
        <v>#VALUE!</v>
      </c>
      <c r="R34" s="191" t="e">
        <f t="shared" si="6"/>
        <v>#VALUE!</v>
      </c>
      <c r="S34" s="17" t="e">
        <f t="shared" si="6"/>
        <v>#VALUE!</v>
      </c>
      <c r="T34" s="17" t="e">
        <f t="shared" si="6"/>
        <v>#VALUE!</v>
      </c>
      <c r="U34" s="17" t="e">
        <f t="shared" si="6"/>
        <v>#VALUE!</v>
      </c>
      <c r="V34" s="230" t="e">
        <f t="shared" si="6"/>
        <v>#VALUE!</v>
      </c>
      <c r="W34" s="231" t="e">
        <f t="shared" si="6"/>
        <v>#VALUE!</v>
      </c>
      <c r="X34" s="17" t="e">
        <f t="shared" si="6"/>
        <v>#VALUE!</v>
      </c>
      <c r="Y34" s="17" t="e">
        <f t="shared" si="6"/>
        <v>#VALUE!</v>
      </c>
      <c r="Z34" s="17" t="e">
        <f t="shared" si="6"/>
        <v>#VALUE!</v>
      </c>
      <c r="AA34" s="193" t="e">
        <f t="shared" si="6"/>
        <v>#VALUE!</v>
      </c>
    </row>
    <row r="35" spans="1:27">
      <c r="A35" s="6" t="s">
        <v>248</v>
      </c>
      <c r="B35" s="139"/>
      <c r="C35" s="17" t="e">
        <f t="shared" ref="C35:AA35" si="7">C34*$B$13</f>
        <v>#VALUE!</v>
      </c>
      <c r="D35" s="17" t="e">
        <f t="shared" si="7"/>
        <v>#VALUE!</v>
      </c>
      <c r="E35" s="17" t="e">
        <f t="shared" si="7"/>
        <v>#VALUE!</v>
      </c>
      <c r="F35" s="17" t="e">
        <f t="shared" si="7"/>
        <v>#VALUE!</v>
      </c>
      <c r="G35" s="17" t="e">
        <f t="shared" si="7"/>
        <v>#VALUE!</v>
      </c>
      <c r="H35" s="17" t="e">
        <f t="shared" si="7"/>
        <v>#VALUE!</v>
      </c>
      <c r="I35" s="17" t="e">
        <f t="shared" si="7"/>
        <v>#VALUE!</v>
      </c>
      <c r="J35" s="17" t="e">
        <f t="shared" si="7"/>
        <v>#VALUE!</v>
      </c>
      <c r="K35" s="17" t="e">
        <f t="shared" si="7"/>
        <v>#VALUE!</v>
      </c>
      <c r="L35" s="17" t="e">
        <f t="shared" si="7"/>
        <v>#VALUE!</v>
      </c>
      <c r="M35" s="17" t="e">
        <f t="shared" si="7"/>
        <v>#VALUE!</v>
      </c>
      <c r="N35" s="17" t="e">
        <f t="shared" si="7"/>
        <v>#VALUE!</v>
      </c>
      <c r="O35" s="17" t="e">
        <f t="shared" si="7"/>
        <v>#VALUE!</v>
      </c>
      <c r="P35" s="17" t="e">
        <f t="shared" si="7"/>
        <v>#VALUE!</v>
      </c>
      <c r="Q35" s="190" t="e">
        <f t="shared" si="7"/>
        <v>#VALUE!</v>
      </c>
      <c r="R35" s="191" t="e">
        <f t="shared" si="7"/>
        <v>#VALUE!</v>
      </c>
      <c r="S35" s="17" t="e">
        <f t="shared" si="7"/>
        <v>#VALUE!</v>
      </c>
      <c r="T35" s="17" t="e">
        <f t="shared" si="7"/>
        <v>#VALUE!</v>
      </c>
      <c r="U35" s="17" t="e">
        <f t="shared" si="7"/>
        <v>#VALUE!</v>
      </c>
      <c r="V35" s="230" t="e">
        <f t="shared" si="7"/>
        <v>#VALUE!</v>
      </c>
      <c r="W35" s="231" t="e">
        <f t="shared" si="7"/>
        <v>#VALUE!</v>
      </c>
      <c r="X35" s="17" t="e">
        <f t="shared" si="7"/>
        <v>#VALUE!</v>
      </c>
      <c r="Y35" s="17" t="e">
        <f t="shared" si="7"/>
        <v>#VALUE!</v>
      </c>
      <c r="Z35" s="17" t="e">
        <f t="shared" si="7"/>
        <v>#VALUE!</v>
      </c>
      <c r="AA35" s="193" t="e">
        <f t="shared" si="7"/>
        <v>#VALUE!</v>
      </c>
    </row>
    <row r="36" spans="1:27" ht="16">
      <c r="A36" s="180" t="s">
        <v>24</v>
      </c>
      <c r="B36" s="200">
        <f t="shared" ref="B36:AA36" si="8">B34*$B$14*(1/$B$17)</f>
        <v>0</v>
      </c>
      <c r="C36" s="200" t="e">
        <f t="shared" si="8"/>
        <v>#VALUE!</v>
      </c>
      <c r="D36" s="200" t="e">
        <f t="shared" si="8"/>
        <v>#VALUE!</v>
      </c>
      <c r="E36" s="194" t="e">
        <f t="shared" si="8"/>
        <v>#VALUE!</v>
      </c>
      <c r="F36" s="194" t="e">
        <f t="shared" si="8"/>
        <v>#VALUE!</v>
      </c>
      <c r="G36" s="194" t="e">
        <f t="shared" si="8"/>
        <v>#VALUE!</v>
      </c>
      <c r="H36" s="194" t="e">
        <f t="shared" si="8"/>
        <v>#VALUE!</v>
      </c>
      <c r="I36" s="194" t="e">
        <f t="shared" si="8"/>
        <v>#VALUE!</v>
      </c>
      <c r="J36" s="194" t="e">
        <f t="shared" si="8"/>
        <v>#VALUE!</v>
      </c>
      <c r="K36" s="194" t="e">
        <f t="shared" si="8"/>
        <v>#VALUE!</v>
      </c>
      <c r="L36" s="194" t="e">
        <f t="shared" si="8"/>
        <v>#VALUE!</v>
      </c>
      <c r="M36" s="194" t="e">
        <f t="shared" si="8"/>
        <v>#VALUE!</v>
      </c>
      <c r="N36" s="194" t="e">
        <f t="shared" si="8"/>
        <v>#VALUE!</v>
      </c>
      <c r="O36" s="194" t="e">
        <f t="shared" si="8"/>
        <v>#VALUE!</v>
      </c>
      <c r="P36" s="194" t="e">
        <f t="shared" si="8"/>
        <v>#VALUE!</v>
      </c>
      <c r="Q36" s="195" t="e">
        <f t="shared" si="8"/>
        <v>#VALUE!</v>
      </c>
      <c r="R36" s="196" t="e">
        <f t="shared" si="8"/>
        <v>#VALUE!</v>
      </c>
      <c r="S36" s="194" t="e">
        <f t="shared" si="8"/>
        <v>#VALUE!</v>
      </c>
      <c r="T36" s="194" t="e">
        <f t="shared" si="8"/>
        <v>#VALUE!</v>
      </c>
      <c r="U36" s="194" t="e">
        <f t="shared" si="8"/>
        <v>#VALUE!</v>
      </c>
      <c r="V36" s="232" t="e">
        <f t="shared" si="8"/>
        <v>#VALUE!</v>
      </c>
      <c r="W36" s="233" t="e">
        <f t="shared" si="8"/>
        <v>#VALUE!</v>
      </c>
      <c r="X36" s="194" t="e">
        <f t="shared" si="8"/>
        <v>#VALUE!</v>
      </c>
      <c r="Y36" s="194" t="e">
        <f t="shared" si="8"/>
        <v>#VALUE!</v>
      </c>
      <c r="Z36" s="194" t="e">
        <f t="shared" si="8"/>
        <v>#VALUE!</v>
      </c>
      <c r="AA36" s="195" t="e">
        <f t="shared" si="8"/>
        <v>#VALUE!</v>
      </c>
    </row>
    <row r="37" spans="1:27" ht="16" thickBot="1">
      <c r="A37" s="197" t="s">
        <v>89</v>
      </c>
      <c r="B37" s="288">
        <f>B36*$B$4</f>
        <v>0</v>
      </c>
      <c r="C37" s="277" t="e">
        <f>C36*$B$4</f>
        <v>#VALUE!</v>
      </c>
      <c r="D37" s="277" t="e">
        <f>D36*$B$4</f>
        <v>#VALUE!</v>
      </c>
      <c r="E37" s="277" t="e">
        <f t="shared" ref="E37:V37" si="9">E36*$B$4</f>
        <v>#VALUE!</v>
      </c>
      <c r="F37" s="277" t="e">
        <f t="shared" si="9"/>
        <v>#VALUE!</v>
      </c>
      <c r="G37" s="277" t="e">
        <f t="shared" si="9"/>
        <v>#VALUE!</v>
      </c>
      <c r="H37" s="277" t="e">
        <f t="shared" si="9"/>
        <v>#VALUE!</v>
      </c>
      <c r="I37" s="277" t="e">
        <f t="shared" si="9"/>
        <v>#VALUE!</v>
      </c>
      <c r="J37" s="277" t="e">
        <f t="shared" si="9"/>
        <v>#VALUE!</v>
      </c>
      <c r="K37" s="277" t="e">
        <f t="shared" si="9"/>
        <v>#VALUE!</v>
      </c>
      <c r="L37" s="277" t="e">
        <f t="shared" si="9"/>
        <v>#VALUE!</v>
      </c>
      <c r="M37" s="277" t="e">
        <f t="shared" si="9"/>
        <v>#VALUE!</v>
      </c>
      <c r="N37" s="277" t="e">
        <f t="shared" si="9"/>
        <v>#VALUE!</v>
      </c>
      <c r="O37" s="277" t="e">
        <f t="shared" si="9"/>
        <v>#VALUE!</v>
      </c>
      <c r="P37" s="277" t="e">
        <f t="shared" si="9"/>
        <v>#VALUE!</v>
      </c>
      <c r="Q37" s="278" t="e">
        <f t="shared" si="9"/>
        <v>#VALUE!</v>
      </c>
      <c r="R37" s="279" t="e">
        <f t="shared" si="9"/>
        <v>#VALUE!</v>
      </c>
      <c r="S37" s="277" t="e">
        <f t="shared" si="9"/>
        <v>#VALUE!</v>
      </c>
      <c r="T37" s="277" t="e">
        <f t="shared" si="9"/>
        <v>#VALUE!</v>
      </c>
      <c r="U37" s="277" t="e">
        <f t="shared" si="9"/>
        <v>#VALUE!</v>
      </c>
      <c r="V37" s="289" t="e">
        <f t="shared" si="9"/>
        <v>#VALUE!</v>
      </c>
      <c r="W37" s="290" t="e">
        <f>W36*$B$4</f>
        <v>#VALUE!</v>
      </c>
      <c r="X37" s="277" t="e">
        <f>X36*$B$4</f>
        <v>#VALUE!</v>
      </c>
      <c r="Y37" s="277" t="e">
        <f>Y36*$B$4</f>
        <v>#VALUE!</v>
      </c>
      <c r="Z37" s="277" t="e">
        <f>Z36*$B$4</f>
        <v>#VALUE!</v>
      </c>
      <c r="AA37" s="281" t="e">
        <f>AA36*$B$4</f>
        <v>#VALUE!</v>
      </c>
    </row>
    <row r="38" spans="1:27">
      <c r="A38" s="6"/>
      <c r="B38" s="139"/>
      <c r="C38" s="176"/>
      <c r="D38" s="7"/>
      <c r="E38" s="7"/>
      <c r="F38" s="7"/>
      <c r="G38" s="7"/>
      <c r="H38" s="7"/>
      <c r="I38" s="7"/>
      <c r="J38" s="7"/>
      <c r="K38" s="7"/>
      <c r="L38" s="7"/>
      <c r="M38" s="7"/>
      <c r="N38" s="7"/>
      <c r="O38" s="7"/>
      <c r="P38" s="7"/>
      <c r="Q38" s="104"/>
      <c r="R38" s="174"/>
      <c r="S38" s="7"/>
      <c r="T38" s="7"/>
      <c r="U38" s="7"/>
      <c r="V38" s="225"/>
      <c r="W38" s="16"/>
      <c r="X38" s="7"/>
      <c r="Y38" s="7"/>
      <c r="Z38" s="7"/>
      <c r="AA38" s="175"/>
    </row>
    <row r="39" spans="1:27" ht="16">
      <c r="A39" s="6" t="s">
        <v>34</v>
      </c>
      <c r="B39" s="291" t="e">
        <f>B27+B31+B36</f>
        <v>#VALUE!</v>
      </c>
      <c r="C39" s="118" t="e">
        <f>C27+C31+C36</f>
        <v>#VALUE!</v>
      </c>
      <c r="D39" s="118" t="e">
        <f>D27+D31+D36</f>
        <v>#VALUE!</v>
      </c>
      <c r="E39" s="118" t="e">
        <f>E27+E31+E36</f>
        <v>#VALUE!</v>
      </c>
      <c r="F39" s="118" t="e">
        <f t="shared" ref="F39:V39" si="10">F27+F31+F36</f>
        <v>#VALUE!</v>
      </c>
      <c r="G39" s="118" t="e">
        <f t="shared" si="10"/>
        <v>#VALUE!</v>
      </c>
      <c r="H39" s="118" t="e">
        <f t="shared" si="10"/>
        <v>#VALUE!</v>
      </c>
      <c r="I39" s="118" t="e">
        <f t="shared" si="10"/>
        <v>#VALUE!</v>
      </c>
      <c r="J39" s="118" t="e">
        <f t="shared" si="10"/>
        <v>#VALUE!</v>
      </c>
      <c r="K39" s="118" t="e">
        <f t="shared" si="10"/>
        <v>#VALUE!</v>
      </c>
      <c r="L39" s="118" t="e">
        <f t="shared" si="10"/>
        <v>#VALUE!</v>
      </c>
      <c r="M39" s="118" t="e">
        <f t="shared" si="10"/>
        <v>#VALUE!</v>
      </c>
      <c r="N39" s="118" t="e">
        <f t="shared" si="10"/>
        <v>#VALUE!</v>
      </c>
      <c r="O39" s="118" t="e">
        <f t="shared" si="10"/>
        <v>#VALUE!</v>
      </c>
      <c r="P39" s="118" t="e">
        <f t="shared" si="10"/>
        <v>#VALUE!</v>
      </c>
      <c r="Q39" s="202" t="e">
        <f t="shared" si="10"/>
        <v>#VALUE!</v>
      </c>
      <c r="R39" s="136" t="e">
        <f t="shared" si="10"/>
        <v>#VALUE!</v>
      </c>
      <c r="S39" s="118" t="e">
        <f t="shared" si="10"/>
        <v>#VALUE!</v>
      </c>
      <c r="T39" s="118" t="e">
        <f t="shared" si="10"/>
        <v>#VALUE!</v>
      </c>
      <c r="U39" s="118" t="e">
        <f t="shared" si="10"/>
        <v>#VALUE!</v>
      </c>
      <c r="V39" s="234" t="e">
        <f t="shared" si="10"/>
        <v>#VALUE!</v>
      </c>
      <c r="W39" s="235" t="e">
        <f>W27+W31+W36</f>
        <v>#VALUE!</v>
      </c>
      <c r="X39" s="118" t="e">
        <f>X27+X31+X36</f>
        <v>#VALUE!</v>
      </c>
      <c r="Y39" s="118" t="e">
        <f>Y27+Y31+Y36</f>
        <v>#VALUE!</v>
      </c>
      <c r="Z39" s="118" t="e">
        <f>Z27+Z31+Z36</f>
        <v>#VALUE!</v>
      </c>
      <c r="AA39" s="204" t="e">
        <f>AA27+AA31+AA36</f>
        <v>#VALUE!</v>
      </c>
    </row>
    <row r="40" spans="1:27" ht="16" thickBot="1">
      <c r="A40" s="135" t="s">
        <v>35</v>
      </c>
      <c r="B40" s="479" t="e">
        <f>($B$4*B39)</f>
        <v>#VALUE!</v>
      </c>
      <c r="C40" s="243" t="e">
        <f>$B$4*C39</f>
        <v>#VALUE!</v>
      </c>
      <c r="D40" s="243" t="e">
        <f t="shared" ref="D40:V40" si="11">$B$4*D39</f>
        <v>#VALUE!</v>
      </c>
      <c r="E40" s="243" t="e">
        <f t="shared" si="11"/>
        <v>#VALUE!</v>
      </c>
      <c r="F40" s="243" t="e">
        <f t="shared" si="11"/>
        <v>#VALUE!</v>
      </c>
      <c r="G40" s="243" t="e">
        <f t="shared" si="11"/>
        <v>#VALUE!</v>
      </c>
      <c r="H40" s="243" t="e">
        <f t="shared" si="11"/>
        <v>#VALUE!</v>
      </c>
      <c r="I40" s="243" t="e">
        <f t="shared" si="11"/>
        <v>#VALUE!</v>
      </c>
      <c r="J40" s="243" t="e">
        <f t="shared" si="11"/>
        <v>#VALUE!</v>
      </c>
      <c r="K40" s="243" t="e">
        <f t="shared" si="11"/>
        <v>#VALUE!</v>
      </c>
      <c r="L40" s="243" t="e">
        <f t="shared" si="11"/>
        <v>#VALUE!</v>
      </c>
      <c r="M40" s="243" t="e">
        <f t="shared" si="11"/>
        <v>#VALUE!</v>
      </c>
      <c r="N40" s="243" t="e">
        <f t="shared" si="11"/>
        <v>#VALUE!</v>
      </c>
      <c r="O40" s="243" t="e">
        <f t="shared" si="11"/>
        <v>#VALUE!</v>
      </c>
      <c r="P40" s="243" t="e">
        <f t="shared" si="11"/>
        <v>#VALUE!</v>
      </c>
      <c r="Q40" s="250" t="e">
        <f t="shared" si="11"/>
        <v>#VALUE!</v>
      </c>
      <c r="R40" s="251" t="e">
        <f t="shared" si="11"/>
        <v>#VALUE!</v>
      </c>
      <c r="S40" s="243" t="e">
        <f t="shared" si="11"/>
        <v>#VALUE!</v>
      </c>
      <c r="T40" s="243" t="e">
        <f t="shared" si="11"/>
        <v>#VALUE!</v>
      </c>
      <c r="U40" s="243" t="e">
        <f t="shared" si="11"/>
        <v>#VALUE!</v>
      </c>
      <c r="V40" s="252" t="e">
        <f t="shared" si="11"/>
        <v>#VALUE!</v>
      </c>
      <c r="W40" s="253" t="e">
        <f>$B$4*W39</f>
        <v>#VALUE!</v>
      </c>
      <c r="X40" s="243" t="e">
        <f>$B$4*X39</f>
        <v>#VALUE!</v>
      </c>
      <c r="Y40" s="243" t="e">
        <f>$B$4*Y39</f>
        <v>#VALUE!</v>
      </c>
      <c r="Z40" s="243" t="e">
        <f>$B$4*Z39</f>
        <v>#VALUE!</v>
      </c>
      <c r="AA40" s="32" t="e">
        <f>$B$4*AA39</f>
        <v>#VALUE!</v>
      </c>
    </row>
    <row r="41" spans="1:27" ht="17" thickTop="1" thickBot="1">
      <c r="A41" s="254"/>
      <c r="B41" s="28" t="s">
        <v>98</v>
      </c>
      <c r="C41" s="29" t="s">
        <v>91</v>
      </c>
      <c r="D41" s="30" t="s">
        <v>92</v>
      </c>
      <c r="E41"/>
      <c r="F41"/>
      <c r="G41"/>
      <c r="H41" s="205"/>
      <c r="I41" s="205"/>
      <c r="J41" s="205"/>
      <c r="K41" s="205"/>
      <c r="L41" s="205"/>
      <c r="M41" s="205"/>
      <c r="N41" s="205"/>
      <c r="O41" s="205"/>
      <c r="P41" s="205"/>
      <c r="Q41" s="205"/>
      <c r="R41" s="205"/>
      <c r="S41" s="205"/>
      <c r="T41" s="205"/>
      <c r="U41" s="205"/>
      <c r="V41" s="205"/>
      <c r="W41" s="4"/>
      <c r="X41" s="4"/>
      <c r="Y41" s="4"/>
      <c r="Z41" s="4"/>
      <c r="AA41" s="4"/>
    </row>
    <row r="42" spans="1:27" ht="16">
      <c r="A42" s="209" t="s">
        <v>36</v>
      </c>
      <c r="B42" s="206" t="e">
        <f>NPV($B$5,C39,D39:Q39)+B39-(Q26/((1+B20)^15))</f>
        <v>#VALUE!</v>
      </c>
      <c r="C42" s="207" t="e">
        <f>NPV($B$5,C39,D39:V39)+B39-(V26/((1+B20)^20))</f>
        <v>#VALUE!</v>
      </c>
      <c r="D42" s="31" t="e">
        <f>NPV($B$5,C39,D39:AA39)+B39-(AA26/((1+B20)^25))</f>
        <v>#VALUE!</v>
      </c>
      <c r="E42"/>
      <c r="F42"/>
      <c r="G42"/>
      <c r="H42" s="5"/>
      <c r="I42" s="5"/>
      <c r="J42" s="5"/>
      <c r="K42" s="5"/>
      <c r="L42" s="5"/>
      <c r="M42" s="5"/>
      <c r="N42" s="5"/>
      <c r="O42" s="5"/>
      <c r="P42" s="5"/>
      <c r="Q42" s="5"/>
      <c r="R42" s="5"/>
      <c r="S42" s="5"/>
      <c r="T42" s="5"/>
      <c r="U42" s="5"/>
      <c r="V42" s="5"/>
      <c r="W42" s="5"/>
      <c r="X42" s="4"/>
      <c r="Y42" s="4"/>
      <c r="Z42" s="4"/>
      <c r="AA42" s="4"/>
    </row>
    <row r="43" spans="1:27">
      <c r="A43" s="209" t="s">
        <v>37</v>
      </c>
      <c r="B43" s="210" t="e">
        <f>(NPV(B20,C40,D40:Q40))+B40-(Q26*$B$4/(1+B20)^15)</f>
        <v>#VALUE!</v>
      </c>
      <c r="C43" s="211" t="e">
        <f>(NPV(B20,C40,D40:V40))+B40-(V26*$B$4/(1+B20)^20)</f>
        <v>#VALUE!</v>
      </c>
      <c r="D43" s="212" t="e">
        <f>(NPV(B20,C40,D40:AA40))+B40-(AA26*$B$4/(1+B20)^25)</f>
        <v>#VALUE!</v>
      </c>
      <c r="E43"/>
      <c r="F43"/>
      <c r="G43"/>
      <c r="H43" s="214"/>
      <c r="I43" s="23"/>
      <c r="J43" s="23"/>
      <c r="K43" s="23"/>
      <c r="L43" s="23"/>
      <c r="M43" s="23"/>
      <c r="N43" s="23"/>
      <c r="O43" s="23"/>
      <c r="P43" s="23"/>
      <c r="Q43" s="23"/>
      <c r="R43" s="23"/>
      <c r="S43" s="23"/>
      <c r="T43" s="23"/>
      <c r="U43" s="23"/>
      <c r="V43" s="23"/>
      <c r="W43" s="23"/>
      <c r="X43" s="3"/>
      <c r="Y43" s="4"/>
      <c r="Z43" s="4"/>
      <c r="AA43" s="4"/>
    </row>
    <row r="44" spans="1:27">
      <c r="A44" s="209" t="s">
        <v>85</v>
      </c>
      <c r="B44" s="210" t="e">
        <f>NPV(B20,C28,D28:Q28)+B28-(Q26*$B$4/(1+B20)^15)</f>
        <v>#VALUE!</v>
      </c>
      <c r="C44" s="211" t="e">
        <f>NPV(B20,C28,D28:V28)+B28-(V26*$B$4/(1+B20)^20)</f>
        <v>#VALUE!</v>
      </c>
      <c r="D44" s="212" t="e">
        <f>NPV(B20,C28,D28:AA28)+B28-(AA26*$B$4/(1+B20)^25)</f>
        <v>#VALUE!</v>
      </c>
      <c r="E44"/>
      <c r="F44"/>
      <c r="G44"/>
      <c r="H44" s="214"/>
      <c r="I44" s="23"/>
      <c r="J44" s="23"/>
      <c r="K44" s="23"/>
      <c r="L44" s="23"/>
      <c r="M44" s="23"/>
      <c r="N44" s="23"/>
      <c r="O44" s="23"/>
      <c r="P44" s="23"/>
      <c r="Q44" s="23"/>
      <c r="R44" s="23"/>
      <c r="S44" s="23"/>
      <c r="T44" s="23"/>
      <c r="U44" s="23"/>
      <c r="V44" s="23"/>
      <c r="W44" s="23"/>
      <c r="X44" s="3"/>
      <c r="Y44" s="4"/>
      <c r="Z44" s="4"/>
      <c r="AA44" s="4"/>
    </row>
    <row r="45" spans="1:27">
      <c r="A45" s="209" t="s">
        <v>86</v>
      </c>
      <c r="B45" s="210" t="e">
        <f>NPV(B20,C32,D32:Q32)+B32</f>
        <v>#VALUE!</v>
      </c>
      <c r="C45" s="211" t="e">
        <f>NPV(B20,C32,D32:V32)+B32</f>
        <v>#VALUE!</v>
      </c>
      <c r="D45" s="212" t="e">
        <f>NPV(B20,C32,D32:AA32)+B32</f>
        <v>#VALUE!</v>
      </c>
      <c r="E45"/>
      <c r="F45"/>
      <c r="G45"/>
      <c r="H45" s="214"/>
      <c r="I45" s="23"/>
      <c r="J45" s="23"/>
      <c r="K45" s="23"/>
      <c r="L45" s="23"/>
      <c r="M45" s="23"/>
      <c r="N45" s="23"/>
      <c r="O45" s="23"/>
      <c r="P45" s="23"/>
      <c r="Q45" s="23"/>
      <c r="R45" s="23"/>
      <c r="S45" s="23"/>
      <c r="T45" s="23"/>
      <c r="U45" s="23"/>
      <c r="V45" s="23"/>
      <c r="W45" s="23"/>
      <c r="X45" s="3"/>
      <c r="Y45" s="4"/>
      <c r="Z45" s="4"/>
      <c r="AA45" s="4"/>
    </row>
    <row r="46" spans="1:27">
      <c r="A46" s="209" t="s">
        <v>90</v>
      </c>
      <c r="B46" s="210" t="e">
        <f>NPV(B20,C37,D37:Q37)+B37</f>
        <v>#VALUE!</v>
      </c>
      <c r="C46" s="718" t="e">
        <f>NPV(B20,C37,D37:V37)+B37</f>
        <v>#VALUE!</v>
      </c>
      <c r="D46" s="212" t="e">
        <f>NPV(B20,C37,D37:AA37)+B37</f>
        <v>#VALUE!</v>
      </c>
      <c r="E46"/>
      <c r="F46"/>
      <c r="G46"/>
      <c r="H46" s="214"/>
      <c r="I46" s="23"/>
      <c r="J46" s="23"/>
      <c r="K46" s="23"/>
      <c r="L46" s="23"/>
      <c r="M46" s="23"/>
      <c r="N46" s="23"/>
      <c r="O46" s="23"/>
      <c r="P46" s="23"/>
      <c r="Q46" s="23"/>
      <c r="R46" s="23"/>
      <c r="S46" s="23"/>
      <c r="T46" s="23"/>
      <c r="U46" s="23"/>
      <c r="V46" s="23"/>
      <c r="W46" s="23"/>
      <c r="X46" s="3"/>
      <c r="Y46" s="4"/>
      <c r="Z46" s="4"/>
      <c r="AA46" s="4"/>
    </row>
    <row r="47" spans="1:27" s="1" customFormat="1" ht="16" thickBot="1">
      <c r="A47" s="215" t="s">
        <v>303</v>
      </c>
      <c r="B47" s="216" t="e">
        <f>((Q26-Q25)/(1+B20)^15)*$B$4</f>
        <v>#VALUE!</v>
      </c>
      <c r="C47" s="217" t="e">
        <f>((V26-V25)/(1+B20)^20)*$B$4</f>
        <v>#VALUE!</v>
      </c>
      <c r="D47" s="218" t="e">
        <f>(AA26/(1+B20)^25)*$B$4</f>
        <v>#VALUE!</v>
      </c>
      <c r="E47" s="219"/>
      <c r="F47" s="219"/>
      <c r="G47" s="219"/>
      <c r="H47" s="23"/>
      <c r="I47" s="23"/>
      <c r="J47" s="23"/>
      <c r="K47" s="23"/>
      <c r="L47" s="23"/>
      <c r="M47" s="23"/>
      <c r="N47" s="23"/>
      <c r="O47" s="23"/>
      <c r="P47" s="23"/>
      <c r="Q47" s="23"/>
      <c r="R47" s="23"/>
      <c r="S47" s="23"/>
      <c r="T47" s="23"/>
      <c r="U47" s="23"/>
      <c r="V47" s="23"/>
      <c r="W47" s="23"/>
      <c r="X47" s="3"/>
      <c r="Y47" s="3"/>
      <c r="Z47" s="3"/>
      <c r="AA47" s="3"/>
    </row>
    <row r="48" spans="1:27" s="27" customFormat="1" ht="16" thickTop="1">
      <c r="A48" s="58"/>
      <c r="B48" s="480"/>
      <c r="C48" s="480"/>
      <c r="D48" s="480"/>
      <c r="E48" s="238"/>
      <c r="F48" s="238"/>
      <c r="G48" s="238"/>
      <c r="H48" s="239"/>
      <c r="I48" s="240"/>
      <c r="J48" s="240"/>
      <c r="K48" s="240"/>
      <c r="L48" s="240"/>
      <c r="M48" s="240"/>
      <c r="N48" s="240"/>
      <c r="O48" s="240"/>
      <c r="P48" s="240"/>
      <c r="Q48" s="240"/>
      <c r="R48" s="240"/>
      <c r="S48" s="240"/>
      <c r="T48" s="240"/>
      <c r="U48" s="240"/>
      <c r="V48" s="240"/>
      <c r="W48" s="240"/>
      <c r="X48" s="241"/>
      <c r="Y48" s="242"/>
      <c r="Z48" s="242"/>
      <c r="AA48" s="242"/>
    </row>
    <row r="49" spans="1:27" ht="16" thickBot="1">
      <c r="A49" s="4"/>
      <c r="B49" s="481"/>
      <c r="C49" s="13"/>
      <c r="D49" s="486"/>
      <c r="E49" s="5"/>
      <c r="F49" s="5"/>
      <c r="G49" s="5"/>
      <c r="H49" s="5"/>
      <c r="I49" s="5"/>
      <c r="J49" s="5"/>
      <c r="K49" s="5"/>
      <c r="L49" s="5"/>
      <c r="M49" s="5"/>
      <c r="N49" s="5"/>
      <c r="O49" s="5"/>
      <c r="P49" s="5"/>
      <c r="Q49" s="5"/>
      <c r="R49" s="5"/>
      <c r="S49" s="5"/>
      <c r="T49" s="5"/>
      <c r="U49" s="5"/>
      <c r="V49" s="4"/>
      <c r="W49" s="4"/>
      <c r="X49" s="4"/>
      <c r="Y49" s="4"/>
      <c r="Z49" s="4"/>
      <c r="AA49" s="4"/>
    </row>
    <row r="50" spans="1:27" ht="35" customHeight="1" thickTop="1" thickBot="1">
      <c r="A50" s="1014" t="s">
        <v>344</v>
      </c>
      <c r="B50" s="1015"/>
      <c r="C50" s="220"/>
      <c r="D50" s="149"/>
      <c r="E50" s="149"/>
      <c r="F50" s="149"/>
      <c r="G50" s="149"/>
      <c r="H50" s="149"/>
      <c r="I50" s="149"/>
      <c r="J50" s="149"/>
      <c r="K50" s="149"/>
      <c r="L50" s="149"/>
      <c r="M50" s="149"/>
      <c r="N50" s="149"/>
      <c r="O50" s="149"/>
      <c r="P50" s="149"/>
      <c r="Q50" s="149"/>
      <c r="R50" s="149"/>
      <c r="S50" s="149"/>
      <c r="T50" s="149"/>
      <c r="U50" s="149"/>
      <c r="V50" s="149"/>
      <c r="W50" s="4"/>
      <c r="X50" s="4"/>
      <c r="Y50" s="4"/>
      <c r="Z50" s="4"/>
      <c r="AA50" s="4"/>
    </row>
    <row r="51" spans="1:27">
      <c r="A51" s="150" t="s">
        <v>83</v>
      </c>
      <c r="B51" s="657" t="str">
        <f>IF(OR(Inputs!E24="No",Inputs!$C$8="Yes"),"",Inputs!D18)</f>
        <v/>
      </c>
      <c r="C51" s="152" t="s">
        <v>193</v>
      </c>
      <c r="D51" s="149"/>
      <c r="E51" s="149"/>
      <c r="F51" s="149"/>
      <c r="G51" s="149"/>
      <c r="H51" s="149"/>
      <c r="I51" s="149"/>
      <c r="J51" s="149"/>
      <c r="K51" s="149"/>
      <c r="L51" s="149"/>
      <c r="M51" s="149"/>
      <c r="N51" s="149"/>
      <c r="O51" s="149"/>
      <c r="P51" s="149"/>
      <c r="Q51" s="149"/>
      <c r="R51" s="149"/>
      <c r="S51" s="149"/>
      <c r="T51" s="149"/>
      <c r="U51" s="149"/>
      <c r="V51" s="149"/>
      <c r="W51" s="4"/>
      <c r="X51" s="4"/>
      <c r="Y51" s="4"/>
      <c r="Z51" s="4"/>
      <c r="AA51" s="4"/>
    </row>
    <row r="52" spans="1:27">
      <c r="A52" s="150" t="s">
        <v>221</v>
      </c>
      <c r="B52" s="151">
        <v>0</v>
      </c>
      <c r="C52" s="152"/>
      <c r="D52" s="149"/>
      <c r="E52" s="149"/>
      <c r="F52" s="149"/>
      <c r="G52" s="149"/>
      <c r="H52" s="149"/>
      <c r="I52" s="149"/>
      <c r="J52" s="149"/>
      <c r="K52" s="149"/>
      <c r="L52" s="149"/>
      <c r="M52" s="149"/>
      <c r="N52" s="149"/>
      <c r="O52" s="149"/>
      <c r="P52" s="149"/>
      <c r="Q52" s="149"/>
      <c r="R52" s="149"/>
      <c r="S52" s="149"/>
      <c r="T52" s="149"/>
      <c r="U52" s="149"/>
      <c r="V52" s="149"/>
      <c r="W52" s="4"/>
      <c r="X52" s="4"/>
      <c r="Y52" s="4"/>
      <c r="Z52" s="4"/>
      <c r="AA52" s="4"/>
    </row>
    <row r="53" spans="1:27" ht="16">
      <c r="A53" s="150" t="s">
        <v>412</v>
      </c>
      <c r="B53" s="658">
        <f>Inputs!$D$11</f>
        <v>12</v>
      </c>
      <c r="C53" s="154" t="s">
        <v>290</v>
      </c>
      <c r="D53" s="149"/>
      <c r="E53" s="149"/>
      <c r="F53" s="149"/>
      <c r="G53" s="149"/>
      <c r="H53" s="149"/>
      <c r="I53" s="149"/>
      <c r="J53" s="149"/>
      <c r="K53" s="149"/>
      <c r="L53" s="149"/>
      <c r="M53" s="149"/>
      <c r="N53" s="149"/>
      <c r="O53" s="149"/>
      <c r="P53" s="149"/>
      <c r="Q53" s="149"/>
      <c r="R53" s="149"/>
      <c r="S53" s="149"/>
      <c r="T53" s="149"/>
      <c r="U53" s="149"/>
      <c r="V53" s="149"/>
      <c r="W53" s="4"/>
      <c r="X53" s="4"/>
      <c r="Y53" s="4"/>
      <c r="Z53" s="4"/>
      <c r="AA53" s="4"/>
    </row>
    <row r="54" spans="1:27">
      <c r="A54" s="150" t="s">
        <v>100</v>
      </c>
      <c r="B54" s="658">
        <f>Inputs!K24</f>
        <v>0.85</v>
      </c>
      <c r="C54" s="155" t="s">
        <v>196</v>
      </c>
      <c r="D54" s="149"/>
      <c r="E54" s="149"/>
      <c r="F54" s="149"/>
      <c r="G54" s="149"/>
      <c r="H54" s="149"/>
      <c r="I54" s="149"/>
      <c r="J54" s="149"/>
      <c r="K54" s="149"/>
      <c r="L54" s="149"/>
      <c r="M54" s="149"/>
      <c r="N54" s="149"/>
      <c r="O54" s="149"/>
      <c r="P54" s="149"/>
      <c r="Q54" s="149"/>
      <c r="R54" s="149"/>
      <c r="S54" s="149"/>
      <c r="T54" s="149"/>
      <c r="U54" s="149"/>
      <c r="V54" s="149"/>
      <c r="W54" s="4"/>
      <c r="X54" s="4"/>
      <c r="Y54" s="4"/>
      <c r="Z54" s="4"/>
      <c r="AA54" s="4"/>
    </row>
    <row r="55" spans="1:27">
      <c r="A55" s="150" t="s">
        <v>84</v>
      </c>
      <c r="B55" s="156">
        <f>'System Efficiencies'!C2</f>
        <v>0.95</v>
      </c>
      <c r="C55" s="155" t="s">
        <v>196</v>
      </c>
      <c r="D55" s="149"/>
      <c r="E55" s="149"/>
      <c r="F55" s="149"/>
      <c r="G55" s="149"/>
      <c r="H55" s="149"/>
      <c r="I55" s="149"/>
      <c r="J55" s="149"/>
      <c r="K55" s="149"/>
      <c r="L55" s="149"/>
      <c r="M55" s="149"/>
      <c r="N55" s="149"/>
      <c r="O55" s="149"/>
      <c r="P55" s="149"/>
      <c r="Q55" s="149"/>
      <c r="R55" s="149"/>
      <c r="S55" s="149"/>
      <c r="T55" s="149"/>
      <c r="U55" s="149"/>
      <c r="V55" s="149"/>
      <c r="W55" s="4"/>
      <c r="X55" s="4"/>
      <c r="Y55" s="4"/>
      <c r="Z55" s="4"/>
      <c r="AA55" s="4"/>
    </row>
    <row r="56" spans="1:27">
      <c r="A56" s="150" t="s">
        <v>99</v>
      </c>
      <c r="B56" s="659">
        <f>B54*B55</f>
        <v>0.8075</v>
      </c>
      <c r="C56" s="155" t="s">
        <v>196</v>
      </c>
      <c r="D56" s="149"/>
      <c r="E56" s="149"/>
      <c r="F56" s="149"/>
      <c r="G56" s="149"/>
      <c r="H56" s="149"/>
      <c r="I56" s="149"/>
      <c r="J56" s="149"/>
      <c r="K56" s="149"/>
      <c r="L56" s="149"/>
      <c r="M56" s="149"/>
      <c r="N56" s="149"/>
      <c r="O56" s="149"/>
      <c r="P56" s="149"/>
      <c r="Q56" s="149"/>
      <c r="R56" s="149"/>
      <c r="S56" s="149"/>
      <c r="T56" s="149"/>
      <c r="U56" s="149"/>
      <c r="V56" s="149"/>
      <c r="W56" s="4"/>
      <c r="X56" s="4"/>
      <c r="Y56" s="4"/>
      <c r="Z56" s="4"/>
      <c r="AA56" s="4"/>
    </row>
    <row r="57" spans="1:27" ht="16">
      <c r="A57" s="150" t="s">
        <v>82</v>
      </c>
      <c r="B57" s="658" t="str">
        <f>IF(Inputs!$C$8="Yes",0,Inputs!I24)</f>
        <v>N/A</v>
      </c>
      <c r="C57" s="157" t="s">
        <v>195</v>
      </c>
      <c r="D57" s="149"/>
      <c r="E57" s="149"/>
      <c r="F57" s="149"/>
      <c r="G57" s="149"/>
      <c r="H57" s="149"/>
      <c r="I57" s="149"/>
      <c r="J57" s="149"/>
      <c r="K57" s="149"/>
      <c r="L57" s="149"/>
      <c r="M57" s="149"/>
      <c r="N57" s="149"/>
      <c r="O57" s="149"/>
      <c r="P57" s="149"/>
      <c r="Q57" s="149"/>
      <c r="R57" s="149"/>
      <c r="S57" s="149"/>
      <c r="T57" s="149"/>
      <c r="U57" s="149"/>
      <c r="V57" s="149"/>
      <c r="W57" s="4"/>
      <c r="X57" s="4"/>
      <c r="Y57" s="4"/>
      <c r="Z57" s="4"/>
      <c r="AA57" s="4"/>
    </row>
    <row r="58" spans="1:27">
      <c r="A58" s="150" t="s">
        <v>81</v>
      </c>
      <c r="B58" s="710">
        <f>'Capital Cost Structure'!E10</f>
        <v>25</v>
      </c>
      <c r="C58" s="157" t="s">
        <v>195</v>
      </c>
      <c r="D58" s="149"/>
      <c r="E58" s="303" t="s">
        <v>286</v>
      </c>
      <c r="F58" s="149"/>
      <c r="G58" s="149"/>
      <c r="H58" s="149"/>
      <c r="I58" s="149"/>
      <c r="J58" s="149"/>
      <c r="K58" s="149"/>
      <c r="L58" s="149"/>
      <c r="M58" s="149"/>
      <c r="N58" s="149"/>
      <c r="O58" s="149"/>
      <c r="P58" s="149"/>
      <c r="Q58" s="149"/>
      <c r="R58" s="149"/>
      <c r="S58" s="149"/>
      <c r="T58" s="149"/>
      <c r="U58" s="149"/>
      <c r="V58" s="149"/>
      <c r="W58" s="4"/>
      <c r="X58" s="4"/>
      <c r="Y58" s="4"/>
      <c r="Z58" s="4"/>
      <c r="AA58" s="4"/>
    </row>
    <row r="59" spans="1:27">
      <c r="A59" s="150" t="s">
        <v>32</v>
      </c>
      <c r="B59" s="153">
        <f>$B$5</f>
        <v>0.05</v>
      </c>
      <c r="C59" s="248" t="s">
        <v>194</v>
      </c>
      <c r="D59" s="149"/>
      <c r="E59" s="149"/>
      <c r="F59" s="149"/>
      <c r="G59" s="149"/>
      <c r="H59" s="149"/>
      <c r="I59" s="149"/>
      <c r="J59" s="149"/>
      <c r="K59" s="149"/>
      <c r="L59" s="149"/>
      <c r="M59" s="149"/>
      <c r="N59" s="149"/>
      <c r="O59" s="149"/>
      <c r="P59" s="149"/>
      <c r="Q59" s="149"/>
      <c r="R59" s="149"/>
      <c r="S59" s="149"/>
      <c r="T59" s="149"/>
      <c r="U59" s="149"/>
      <c r="V59" s="149"/>
      <c r="W59" s="4"/>
      <c r="X59" s="4"/>
      <c r="Y59" s="4"/>
      <c r="Z59" s="4"/>
      <c r="AA59" s="4"/>
    </row>
    <row r="60" spans="1:27" ht="16" thickBot="1">
      <c r="A60" s="159" t="s">
        <v>405</v>
      </c>
      <c r="B60" s="547">
        <f>Inputs!F24</f>
        <v>0</v>
      </c>
      <c r="C60" s="249" t="s">
        <v>194</v>
      </c>
      <c r="D60" s="160"/>
      <c r="E60" s="161"/>
      <c r="F60" s="161"/>
      <c r="G60" s="161"/>
      <c r="H60" s="161"/>
      <c r="I60" s="161"/>
      <c r="J60" s="161"/>
      <c r="K60" s="161"/>
      <c r="L60" s="161"/>
      <c r="M60" s="161"/>
      <c r="N60" s="161"/>
      <c r="O60" s="161"/>
      <c r="P60" s="161"/>
      <c r="Q60" s="161"/>
      <c r="R60" s="161"/>
      <c r="S60" s="161"/>
      <c r="T60" s="161"/>
      <c r="U60" s="161"/>
      <c r="V60" s="161"/>
      <c r="W60" s="4"/>
      <c r="X60" s="4"/>
      <c r="Y60" s="4"/>
      <c r="Z60" s="4"/>
      <c r="AA60" s="4"/>
    </row>
    <row r="61" spans="1:27" ht="17" thickTop="1" thickBot="1">
      <c r="A61" s="6" t="s">
        <v>0</v>
      </c>
      <c r="B61" s="139" t="s">
        <v>51</v>
      </c>
      <c r="C61" s="117" t="s">
        <v>1</v>
      </c>
      <c r="D61" s="117" t="s">
        <v>2</v>
      </c>
      <c r="E61" s="117" t="s">
        <v>3</v>
      </c>
      <c r="F61" s="117" t="s">
        <v>4</v>
      </c>
      <c r="G61" s="117" t="s">
        <v>5</v>
      </c>
      <c r="H61" s="117" t="s">
        <v>6</v>
      </c>
      <c r="I61" s="117" t="s">
        <v>7</v>
      </c>
      <c r="J61" s="117" t="s">
        <v>8</v>
      </c>
      <c r="K61" s="117" t="s">
        <v>9</v>
      </c>
      <c r="L61" s="117" t="s">
        <v>10</v>
      </c>
      <c r="M61" s="117" t="s">
        <v>11</v>
      </c>
      <c r="N61" s="117" t="s">
        <v>12</v>
      </c>
      <c r="O61" s="117" t="s">
        <v>13</v>
      </c>
      <c r="P61" s="117" t="s">
        <v>14</v>
      </c>
      <c r="Q61" s="162" t="s">
        <v>15</v>
      </c>
      <c r="R61" s="139" t="s">
        <v>16</v>
      </c>
      <c r="S61" s="117" t="s">
        <v>17</v>
      </c>
      <c r="T61" s="117" t="s">
        <v>18</v>
      </c>
      <c r="U61" s="117" t="s">
        <v>19</v>
      </c>
      <c r="V61" s="221" t="s">
        <v>20</v>
      </c>
      <c r="W61" s="119" t="s">
        <v>93</v>
      </c>
      <c r="X61" s="120" t="s">
        <v>94</v>
      </c>
      <c r="Y61" s="120" t="s">
        <v>95</v>
      </c>
      <c r="Z61" s="120" t="s">
        <v>96</v>
      </c>
      <c r="AA61" s="222" t="s">
        <v>97</v>
      </c>
    </row>
    <row r="62" spans="1:27" ht="16">
      <c r="A62" s="167" t="s">
        <v>314</v>
      </c>
      <c r="B62" s="168" t="e">
        <f>B57*(1-Inputs!G24)</f>
        <v>#VALUE!</v>
      </c>
      <c r="C62" s="169"/>
      <c r="D62" s="169"/>
      <c r="E62" s="169"/>
      <c r="F62" s="169"/>
      <c r="G62" s="169"/>
      <c r="H62" s="169"/>
      <c r="I62" s="169"/>
      <c r="J62" s="169"/>
      <c r="K62" s="169"/>
      <c r="L62" s="169"/>
      <c r="M62" s="169"/>
      <c r="N62" s="169"/>
      <c r="O62" s="169"/>
      <c r="P62" s="169"/>
      <c r="Q62" s="170"/>
      <c r="R62" s="171"/>
      <c r="S62" s="169"/>
      <c r="T62" s="169"/>
      <c r="U62" s="169"/>
      <c r="V62" s="223"/>
      <c r="W62" s="224"/>
      <c r="X62" s="169"/>
      <c r="Y62" s="169"/>
      <c r="Z62" s="169"/>
      <c r="AA62" s="173"/>
    </row>
    <row r="63" spans="1:27">
      <c r="A63" s="6" t="s">
        <v>270</v>
      </c>
      <c r="B63" s="139"/>
      <c r="C63" s="7"/>
      <c r="D63" s="7"/>
      <c r="E63" s="7"/>
      <c r="F63" s="7"/>
      <c r="G63" s="269" t="s">
        <v>255</v>
      </c>
      <c r="H63" s="127"/>
      <c r="I63" s="127"/>
      <c r="J63" s="127"/>
      <c r="K63" s="127"/>
      <c r="L63" s="269" t="s">
        <v>374</v>
      </c>
      <c r="M63" s="7"/>
      <c r="N63" s="7"/>
      <c r="O63" s="7"/>
      <c r="P63" s="7"/>
      <c r="Q63" s="162" t="s">
        <v>375</v>
      </c>
      <c r="R63" s="174"/>
      <c r="S63" s="7"/>
      <c r="T63" s="7"/>
      <c r="U63" s="7"/>
      <c r="V63" s="221" t="s">
        <v>374</v>
      </c>
      <c r="W63" s="16"/>
      <c r="X63" s="7"/>
      <c r="Y63" s="7"/>
      <c r="Z63" s="7"/>
      <c r="AA63" s="175"/>
    </row>
    <row r="64" spans="1:27" ht="16">
      <c r="A64" s="6" t="s">
        <v>38</v>
      </c>
      <c r="B64" s="139">
        <v>0</v>
      </c>
      <c r="C64" s="7"/>
      <c r="D64" s="7"/>
      <c r="E64" s="7"/>
      <c r="F64" s="7"/>
      <c r="G64" s="651" t="e">
        <f>('Capital Cost Structure'!F15*B57)</f>
        <v>#VALUE!</v>
      </c>
      <c r="H64" s="7"/>
      <c r="I64" s="7"/>
      <c r="J64" s="7"/>
      <c r="K64" s="7"/>
      <c r="L64" s="651" t="e">
        <f>('Capital Cost Structure'!F15*B57)+('Capital Cost Structure'!F14*B57)</f>
        <v>#VALUE!</v>
      </c>
      <c r="M64" s="7"/>
      <c r="N64" s="7"/>
      <c r="O64" s="7"/>
      <c r="P64" s="7"/>
      <c r="Q64" s="653" t="e">
        <f>('Capital Cost Structure'!F15*B57)+('Capital Cost Structure'!F16*B57)+('Capital Cost Structure'!F11*B57)</f>
        <v>#VALUE!</v>
      </c>
      <c r="R64" s="174"/>
      <c r="S64" s="7"/>
      <c r="T64" s="7"/>
      <c r="U64" s="7"/>
      <c r="V64" s="655" t="e">
        <f>('Capital Cost Structure'!F15*B57)+('Capital Cost Structure'!F14*B57)</f>
        <v>#VALUE!</v>
      </c>
      <c r="W64" s="16"/>
      <c r="X64" s="7"/>
      <c r="Y64" s="7"/>
      <c r="Z64" s="7"/>
      <c r="AA64" s="175"/>
    </row>
    <row r="65" spans="1:27">
      <c r="A65" s="6" t="s">
        <v>50</v>
      </c>
      <c r="B65" s="139" t="e">
        <f>B62</f>
        <v>#VALUE!</v>
      </c>
      <c r="C65" s="177" t="e">
        <f>B65+C64-($B$62/$B$58)</f>
        <v>#VALUE!</v>
      </c>
      <c r="D65" s="177" t="e">
        <f t="shared" ref="D65:AA65" si="12">C65+D64-($B$62/$B$58)</f>
        <v>#VALUE!</v>
      </c>
      <c r="E65" s="177" t="e">
        <f t="shared" si="12"/>
        <v>#VALUE!</v>
      </c>
      <c r="F65" s="177" t="e">
        <f>E65+F64-($B$62/$B$58)</f>
        <v>#VALUE!</v>
      </c>
      <c r="G65" s="177" t="e">
        <f t="shared" si="12"/>
        <v>#VALUE!</v>
      </c>
      <c r="H65" s="177" t="e">
        <f t="shared" si="12"/>
        <v>#VALUE!</v>
      </c>
      <c r="I65" s="177" t="e">
        <f t="shared" si="12"/>
        <v>#VALUE!</v>
      </c>
      <c r="J65" s="177" t="e">
        <f t="shared" si="12"/>
        <v>#VALUE!</v>
      </c>
      <c r="K65" s="177" t="e">
        <f t="shared" si="12"/>
        <v>#VALUE!</v>
      </c>
      <c r="L65" s="177" t="e">
        <f t="shared" si="12"/>
        <v>#VALUE!</v>
      </c>
      <c r="M65" s="177" t="e">
        <f t="shared" si="12"/>
        <v>#VALUE!</v>
      </c>
      <c r="N65" s="177" t="e">
        <f t="shared" si="12"/>
        <v>#VALUE!</v>
      </c>
      <c r="O65" s="177" t="e">
        <f t="shared" si="12"/>
        <v>#VALUE!</v>
      </c>
      <c r="P65" s="177" t="e">
        <f t="shared" si="12"/>
        <v>#VALUE!</v>
      </c>
      <c r="Q65" s="244" t="e">
        <f t="shared" si="12"/>
        <v>#VALUE!</v>
      </c>
      <c r="R65" s="245" t="e">
        <f t="shared" si="12"/>
        <v>#VALUE!</v>
      </c>
      <c r="S65" s="177" t="e">
        <f t="shared" si="12"/>
        <v>#VALUE!</v>
      </c>
      <c r="T65" s="177" t="e">
        <f t="shared" si="12"/>
        <v>#VALUE!</v>
      </c>
      <c r="U65" s="177" t="e">
        <f t="shared" si="12"/>
        <v>#VALUE!</v>
      </c>
      <c r="V65" s="246" t="e">
        <f t="shared" si="12"/>
        <v>#VALUE!</v>
      </c>
      <c r="W65" s="247" t="e">
        <f t="shared" si="12"/>
        <v>#VALUE!</v>
      </c>
      <c r="X65" s="177" t="e">
        <f t="shared" si="12"/>
        <v>#VALUE!</v>
      </c>
      <c r="Y65" s="177" t="e">
        <f t="shared" si="12"/>
        <v>#VALUE!</v>
      </c>
      <c r="Z65" s="177" t="e">
        <f t="shared" si="12"/>
        <v>#VALUE!</v>
      </c>
      <c r="AA65" s="178" t="e">
        <f t="shared" si="12"/>
        <v>#VALUE!</v>
      </c>
    </row>
    <row r="66" spans="1:27" ht="16">
      <c r="A66" s="180" t="s">
        <v>22</v>
      </c>
      <c r="B66" s="181" t="e">
        <f>B62+B64+(B60/$B$4)</f>
        <v>#VALUE!</v>
      </c>
      <c r="C66" s="181">
        <f>C62+C64</f>
        <v>0</v>
      </c>
      <c r="D66" s="181">
        <f>D62+D64</f>
        <v>0</v>
      </c>
      <c r="E66" s="181">
        <f t="shared" ref="E66:AA66" si="13">E62+E64</f>
        <v>0</v>
      </c>
      <c r="F66" s="181">
        <f t="shared" si="13"/>
        <v>0</v>
      </c>
      <c r="G66" s="181" t="e">
        <f>G62+G64</f>
        <v>#VALUE!</v>
      </c>
      <c r="H66" s="181">
        <f t="shared" si="13"/>
        <v>0</v>
      </c>
      <c r="I66" s="181">
        <f t="shared" si="13"/>
        <v>0</v>
      </c>
      <c r="J66" s="181">
        <f t="shared" si="13"/>
        <v>0</v>
      </c>
      <c r="K66" s="181">
        <f t="shared" si="13"/>
        <v>0</v>
      </c>
      <c r="L66" s="181" t="e">
        <f>L62+L64</f>
        <v>#VALUE!</v>
      </c>
      <c r="M66" s="181">
        <f t="shared" si="13"/>
        <v>0</v>
      </c>
      <c r="N66" s="181">
        <f t="shared" si="13"/>
        <v>0</v>
      </c>
      <c r="O66" s="181">
        <f t="shared" si="13"/>
        <v>0</v>
      </c>
      <c r="P66" s="181">
        <f t="shared" si="13"/>
        <v>0</v>
      </c>
      <c r="Q66" s="182" t="e">
        <f t="shared" si="13"/>
        <v>#VALUE!</v>
      </c>
      <c r="R66" s="183">
        <f t="shared" si="13"/>
        <v>0</v>
      </c>
      <c r="S66" s="181">
        <f t="shared" si="13"/>
        <v>0</v>
      </c>
      <c r="T66" s="181">
        <f t="shared" si="13"/>
        <v>0</v>
      </c>
      <c r="U66" s="181">
        <f t="shared" si="13"/>
        <v>0</v>
      </c>
      <c r="V66" s="226" t="e">
        <f t="shared" si="13"/>
        <v>#VALUE!</v>
      </c>
      <c r="W66" s="227">
        <f t="shared" si="13"/>
        <v>0</v>
      </c>
      <c r="X66" s="181">
        <f t="shared" si="13"/>
        <v>0</v>
      </c>
      <c r="Y66" s="181">
        <f t="shared" si="13"/>
        <v>0</v>
      </c>
      <c r="Z66" s="181">
        <f t="shared" si="13"/>
        <v>0</v>
      </c>
      <c r="AA66" s="182">
        <f t="shared" si="13"/>
        <v>0</v>
      </c>
    </row>
    <row r="67" spans="1:27" s="10" customFormat="1" ht="16" thickBot="1">
      <c r="A67" s="184" t="s">
        <v>87</v>
      </c>
      <c r="B67" s="185" t="e">
        <f>(B66*$B$4)</f>
        <v>#VALUE!</v>
      </c>
      <c r="C67" s="186">
        <f t="shared" ref="C67:AA67" si="14">C66*$B$4</f>
        <v>0</v>
      </c>
      <c r="D67" s="186">
        <f t="shared" si="14"/>
        <v>0</v>
      </c>
      <c r="E67" s="186">
        <f t="shared" si="14"/>
        <v>0</v>
      </c>
      <c r="F67" s="186">
        <f t="shared" si="14"/>
        <v>0</v>
      </c>
      <c r="G67" s="186" t="e">
        <f t="shared" si="14"/>
        <v>#VALUE!</v>
      </c>
      <c r="H67" s="186">
        <f t="shared" si="14"/>
        <v>0</v>
      </c>
      <c r="I67" s="186">
        <f t="shared" si="14"/>
        <v>0</v>
      </c>
      <c r="J67" s="186">
        <f t="shared" si="14"/>
        <v>0</v>
      </c>
      <c r="K67" s="186">
        <f t="shared" si="14"/>
        <v>0</v>
      </c>
      <c r="L67" s="186" t="e">
        <f t="shared" si="14"/>
        <v>#VALUE!</v>
      </c>
      <c r="M67" s="186">
        <f t="shared" si="14"/>
        <v>0</v>
      </c>
      <c r="N67" s="186">
        <f t="shared" si="14"/>
        <v>0</v>
      </c>
      <c r="O67" s="186">
        <f t="shared" si="14"/>
        <v>0</v>
      </c>
      <c r="P67" s="186">
        <f t="shared" si="14"/>
        <v>0</v>
      </c>
      <c r="Q67" s="187" t="e">
        <f t="shared" si="14"/>
        <v>#VALUE!</v>
      </c>
      <c r="R67" s="185">
        <f t="shared" si="14"/>
        <v>0</v>
      </c>
      <c r="S67" s="186">
        <f t="shared" si="14"/>
        <v>0</v>
      </c>
      <c r="T67" s="186">
        <f t="shared" si="14"/>
        <v>0</v>
      </c>
      <c r="U67" s="186">
        <f t="shared" si="14"/>
        <v>0</v>
      </c>
      <c r="V67" s="228" t="e">
        <f t="shared" si="14"/>
        <v>#VALUE!</v>
      </c>
      <c r="W67" s="229">
        <f t="shared" si="14"/>
        <v>0</v>
      </c>
      <c r="X67" s="186">
        <f t="shared" si="14"/>
        <v>0</v>
      </c>
      <c r="Y67" s="186">
        <f t="shared" si="14"/>
        <v>0</v>
      </c>
      <c r="Z67" s="186">
        <f t="shared" si="14"/>
        <v>0</v>
      </c>
      <c r="AA67" s="189">
        <f t="shared" si="14"/>
        <v>0</v>
      </c>
    </row>
    <row r="68" spans="1:27">
      <c r="A68" s="6"/>
      <c r="B68" s="139"/>
      <c r="C68" s="7"/>
      <c r="D68" s="7"/>
      <c r="E68" s="7"/>
      <c r="F68" s="7"/>
      <c r="G68" s="7"/>
      <c r="H68" s="7"/>
      <c r="I68" s="7"/>
      <c r="J68" s="7"/>
      <c r="K68" s="7"/>
      <c r="L68" s="7"/>
      <c r="M68" s="7"/>
      <c r="N68" s="7"/>
      <c r="O68" s="7"/>
      <c r="P68" s="7"/>
      <c r="Q68" s="104"/>
      <c r="R68" s="174"/>
      <c r="S68" s="7"/>
      <c r="T68" s="7"/>
      <c r="U68" s="7"/>
      <c r="V68" s="225"/>
      <c r="W68" s="16"/>
      <c r="X68" s="7"/>
      <c r="Y68" s="7"/>
      <c r="Z68" s="7"/>
      <c r="AA68" s="175"/>
    </row>
    <row r="69" spans="1:27">
      <c r="A69" s="6" t="s">
        <v>21</v>
      </c>
      <c r="B69" s="139">
        <v>0</v>
      </c>
      <c r="C69" s="17">
        <v>0.01</v>
      </c>
      <c r="D69" s="17">
        <f>C69+(0.01/($B$58-1))</f>
        <v>1.0416666666666666E-2</v>
      </c>
      <c r="E69" s="17">
        <f>D69+(0.01/($B$58-1))</f>
        <v>1.0833333333333332E-2</v>
      </c>
      <c r="F69" s="17">
        <f t="shared" ref="F69:AA69" si="15">E69+(0.01/($B$58-1))</f>
        <v>1.1249999999999998E-2</v>
      </c>
      <c r="G69" s="17">
        <f t="shared" si="15"/>
        <v>1.1666666666666664E-2</v>
      </c>
      <c r="H69" s="17">
        <f t="shared" si="15"/>
        <v>1.208333333333333E-2</v>
      </c>
      <c r="I69" s="17">
        <f t="shared" si="15"/>
        <v>1.2499999999999995E-2</v>
      </c>
      <c r="J69" s="17">
        <f t="shared" si="15"/>
        <v>1.2916666666666661E-2</v>
      </c>
      <c r="K69" s="17">
        <f t="shared" si="15"/>
        <v>1.3333333333333327E-2</v>
      </c>
      <c r="L69" s="17">
        <f t="shared" si="15"/>
        <v>1.3749999999999993E-2</v>
      </c>
      <c r="M69" s="17">
        <f t="shared" si="15"/>
        <v>1.4166666666666659E-2</v>
      </c>
      <c r="N69" s="17">
        <f>M69+(0.01/($B$58-1))</f>
        <v>1.4583333333333325E-2</v>
      </c>
      <c r="O69" s="17">
        <f t="shared" si="15"/>
        <v>1.4999999999999991E-2</v>
      </c>
      <c r="P69" s="17">
        <f t="shared" si="15"/>
        <v>1.5416666666666657E-2</v>
      </c>
      <c r="Q69" s="190">
        <f t="shared" si="15"/>
        <v>1.5833333333333324E-2</v>
      </c>
      <c r="R69" s="191">
        <f t="shared" si="15"/>
        <v>1.624999999999999E-2</v>
      </c>
      <c r="S69" s="17">
        <f t="shared" si="15"/>
        <v>1.6666666666666656E-2</v>
      </c>
      <c r="T69" s="17">
        <f t="shared" si="15"/>
        <v>1.7083333333333322E-2</v>
      </c>
      <c r="U69" s="17">
        <f t="shared" si="15"/>
        <v>1.7499999999999988E-2</v>
      </c>
      <c r="V69" s="230">
        <f t="shared" si="15"/>
        <v>1.7916666666666654E-2</v>
      </c>
      <c r="W69" s="231">
        <f t="shared" si="15"/>
        <v>1.833333333333332E-2</v>
      </c>
      <c r="X69" s="17">
        <f t="shared" si="15"/>
        <v>1.8749999999999985E-2</v>
      </c>
      <c r="Y69" s="17">
        <f t="shared" si="15"/>
        <v>1.9166666666666651E-2</v>
      </c>
      <c r="Z69" s="17">
        <f t="shared" si="15"/>
        <v>1.9583333333333317E-2</v>
      </c>
      <c r="AA69" s="193">
        <f t="shared" si="15"/>
        <v>1.9999999999999983E-2</v>
      </c>
    </row>
    <row r="70" spans="1:27" ht="16">
      <c r="A70" s="180" t="s">
        <v>23</v>
      </c>
      <c r="B70" s="194" t="e">
        <f>B69*$B$57</f>
        <v>#VALUE!</v>
      </c>
      <c r="C70" s="194" t="e">
        <f>C69*$B$57</f>
        <v>#VALUE!</v>
      </c>
      <c r="D70" s="194" t="e">
        <f>D69*$B$57</f>
        <v>#VALUE!</v>
      </c>
      <c r="E70" s="194" t="e">
        <f t="shared" ref="E70:AA70" si="16">E69*$B$57</f>
        <v>#VALUE!</v>
      </c>
      <c r="F70" s="194" t="e">
        <f t="shared" si="16"/>
        <v>#VALUE!</v>
      </c>
      <c r="G70" s="194" t="e">
        <f t="shared" si="16"/>
        <v>#VALUE!</v>
      </c>
      <c r="H70" s="194" t="e">
        <f t="shared" si="16"/>
        <v>#VALUE!</v>
      </c>
      <c r="I70" s="194" t="e">
        <f t="shared" si="16"/>
        <v>#VALUE!</v>
      </c>
      <c r="J70" s="194" t="e">
        <f t="shared" si="16"/>
        <v>#VALUE!</v>
      </c>
      <c r="K70" s="194" t="e">
        <f t="shared" si="16"/>
        <v>#VALUE!</v>
      </c>
      <c r="L70" s="194" t="e">
        <f t="shared" si="16"/>
        <v>#VALUE!</v>
      </c>
      <c r="M70" s="194" t="e">
        <f t="shared" si="16"/>
        <v>#VALUE!</v>
      </c>
      <c r="N70" s="194" t="e">
        <f t="shared" si="16"/>
        <v>#VALUE!</v>
      </c>
      <c r="O70" s="194" t="e">
        <f t="shared" si="16"/>
        <v>#VALUE!</v>
      </c>
      <c r="P70" s="194" t="e">
        <f t="shared" si="16"/>
        <v>#VALUE!</v>
      </c>
      <c r="Q70" s="195" t="e">
        <f t="shared" si="16"/>
        <v>#VALUE!</v>
      </c>
      <c r="R70" s="196" t="e">
        <f t="shared" si="16"/>
        <v>#VALUE!</v>
      </c>
      <c r="S70" s="194" t="e">
        <f t="shared" si="16"/>
        <v>#VALUE!</v>
      </c>
      <c r="T70" s="194" t="e">
        <f t="shared" si="16"/>
        <v>#VALUE!</v>
      </c>
      <c r="U70" s="194" t="e">
        <f t="shared" si="16"/>
        <v>#VALUE!</v>
      </c>
      <c r="V70" s="232" t="e">
        <f t="shared" si="16"/>
        <v>#VALUE!</v>
      </c>
      <c r="W70" s="233" t="e">
        <f t="shared" si="16"/>
        <v>#VALUE!</v>
      </c>
      <c r="X70" s="194" t="e">
        <f t="shared" si="16"/>
        <v>#VALUE!</v>
      </c>
      <c r="Y70" s="194" t="e">
        <f t="shared" si="16"/>
        <v>#VALUE!</v>
      </c>
      <c r="Z70" s="194" t="e">
        <f t="shared" si="16"/>
        <v>#VALUE!</v>
      </c>
      <c r="AA70" s="195" t="e">
        <f t="shared" si="16"/>
        <v>#VALUE!</v>
      </c>
    </row>
    <row r="71" spans="1:27" ht="16" thickBot="1">
      <c r="A71" s="197" t="s">
        <v>88</v>
      </c>
      <c r="B71" s="279" t="e">
        <f>B70*$B$4</f>
        <v>#VALUE!</v>
      </c>
      <c r="C71" s="277" t="e">
        <f>C70*$B$4</f>
        <v>#VALUE!</v>
      </c>
      <c r="D71" s="277" t="e">
        <f t="shared" ref="D71:V71" si="17">D70*$B$4</f>
        <v>#VALUE!</v>
      </c>
      <c r="E71" s="277" t="e">
        <f t="shared" si="17"/>
        <v>#VALUE!</v>
      </c>
      <c r="F71" s="277" t="e">
        <f t="shared" si="17"/>
        <v>#VALUE!</v>
      </c>
      <c r="G71" s="277" t="e">
        <f t="shared" si="17"/>
        <v>#VALUE!</v>
      </c>
      <c r="H71" s="277" t="e">
        <f t="shared" si="17"/>
        <v>#VALUE!</v>
      </c>
      <c r="I71" s="277" t="e">
        <f t="shared" si="17"/>
        <v>#VALUE!</v>
      </c>
      <c r="J71" s="277" t="e">
        <f t="shared" si="17"/>
        <v>#VALUE!</v>
      </c>
      <c r="K71" s="277" t="e">
        <f t="shared" si="17"/>
        <v>#VALUE!</v>
      </c>
      <c r="L71" s="277" t="e">
        <f t="shared" si="17"/>
        <v>#VALUE!</v>
      </c>
      <c r="M71" s="277" t="e">
        <f t="shared" si="17"/>
        <v>#VALUE!</v>
      </c>
      <c r="N71" s="277" t="e">
        <f t="shared" si="17"/>
        <v>#VALUE!</v>
      </c>
      <c r="O71" s="277" t="e">
        <f t="shared" si="17"/>
        <v>#VALUE!</v>
      </c>
      <c r="P71" s="277" t="e">
        <f t="shared" si="17"/>
        <v>#VALUE!</v>
      </c>
      <c r="Q71" s="278" t="e">
        <f t="shared" si="17"/>
        <v>#VALUE!</v>
      </c>
      <c r="R71" s="279" t="e">
        <f t="shared" si="17"/>
        <v>#VALUE!</v>
      </c>
      <c r="S71" s="277" t="e">
        <f t="shared" si="17"/>
        <v>#VALUE!</v>
      </c>
      <c r="T71" s="277" t="e">
        <f t="shared" si="17"/>
        <v>#VALUE!</v>
      </c>
      <c r="U71" s="277" t="e">
        <f t="shared" si="17"/>
        <v>#VALUE!</v>
      </c>
      <c r="V71" s="289" t="e">
        <f t="shared" si="17"/>
        <v>#VALUE!</v>
      </c>
      <c r="W71" s="290" t="e">
        <f>W70*$B$4</f>
        <v>#VALUE!</v>
      </c>
      <c r="X71" s="277" t="e">
        <f>X70*$B$4</f>
        <v>#VALUE!</v>
      </c>
      <c r="Y71" s="277" t="e">
        <f>Y70*$B$4</f>
        <v>#VALUE!</v>
      </c>
      <c r="Z71" s="277" t="e">
        <f>Z70*$B$4</f>
        <v>#VALUE!</v>
      </c>
      <c r="AA71" s="281" t="e">
        <f>AA70*$B$4</f>
        <v>#VALUE!</v>
      </c>
    </row>
    <row r="72" spans="1:27">
      <c r="A72" s="199"/>
      <c r="B72" s="174"/>
      <c r="C72" s="7"/>
      <c r="D72" s="7"/>
      <c r="E72" s="7"/>
      <c r="F72" s="7"/>
      <c r="G72" s="7"/>
      <c r="H72" s="7"/>
      <c r="I72" s="7"/>
      <c r="J72" s="7"/>
      <c r="K72" s="7"/>
      <c r="L72" s="7"/>
      <c r="M72" s="7"/>
      <c r="N72" s="7"/>
      <c r="O72" s="7"/>
      <c r="P72" s="7"/>
      <c r="Q72" s="104"/>
      <c r="R72" s="174"/>
      <c r="S72" s="7"/>
      <c r="T72" s="7"/>
      <c r="U72" s="7"/>
      <c r="V72" s="225"/>
      <c r="W72" s="16"/>
      <c r="X72" s="7"/>
      <c r="Y72" s="7"/>
      <c r="Z72" s="7"/>
      <c r="AA72" s="175"/>
    </row>
    <row r="73" spans="1:27">
      <c r="A73" s="6" t="s">
        <v>25</v>
      </c>
      <c r="B73" s="139">
        <v>0</v>
      </c>
      <c r="C73" s="17" t="str">
        <f>B51</f>
        <v/>
      </c>
      <c r="D73" s="17" t="e">
        <f t="shared" ref="D73:AA73" si="18">C73+C74</f>
        <v>#VALUE!</v>
      </c>
      <c r="E73" s="17" t="e">
        <f t="shared" si="18"/>
        <v>#VALUE!</v>
      </c>
      <c r="F73" s="17" t="e">
        <f t="shared" si="18"/>
        <v>#VALUE!</v>
      </c>
      <c r="G73" s="17" t="e">
        <f t="shared" si="18"/>
        <v>#VALUE!</v>
      </c>
      <c r="H73" s="17" t="e">
        <f t="shared" si="18"/>
        <v>#VALUE!</v>
      </c>
      <c r="I73" s="17" t="e">
        <f t="shared" si="18"/>
        <v>#VALUE!</v>
      </c>
      <c r="J73" s="17" t="e">
        <f t="shared" si="18"/>
        <v>#VALUE!</v>
      </c>
      <c r="K73" s="17" t="e">
        <f t="shared" si="18"/>
        <v>#VALUE!</v>
      </c>
      <c r="L73" s="17" t="e">
        <f t="shared" si="18"/>
        <v>#VALUE!</v>
      </c>
      <c r="M73" s="17" t="e">
        <f t="shared" si="18"/>
        <v>#VALUE!</v>
      </c>
      <c r="N73" s="17" t="e">
        <f>M73+M74</f>
        <v>#VALUE!</v>
      </c>
      <c r="O73" s="17" t="e">
        <f t="shared" si="18"/>
        <v>#VALUE!</v>
      </c>
      <c r="P73" s="17" t="e">
        <f t="shared" si="18"/>
        <v>#VALUE!</v>
      </c>
      <c r="Q73" s="190" t="e">
        <f t="shared" si="18"/>
        <v>#VALUE!</v>
      </c>
      <c r="R73" s="191" t="e">
        <f t="shared" si="18"/>
        <v>#VALUE!</v>
      </c>
      <c r="S73" s="17" t="e">
        <f t="shared" si="18"/>
        <v>#VALUE!</v>
      </c>
      <c r="T73" s="17" t="e">
        <f t="shared" si="18"/>
        <v>#VALUE!</v>
      </c>
      <c r="U73" s="17" t="e">
        <f t="shared" si="18"/>
        <v>#VALUE!</v>
      </c>
      <c r="V73" s="230" t="e">
        <f t="shared" si="18"/>
        <v>#VALUE!</v>
      </c>
      <c r="W73" s="231" t="e">
        <f t="shared" si="18"/>
        <v>#VALUE!</v>
      </c>
      <c r="X73" s="17" t="e">
        <f t="shared" si="18"/>
        <v>#VALUE!</v>
      </c>
      <c r="Y73" s="17" t="e">
        <f t="shared" si="18"/>
        <v>#VALUE!</v>
      </c>
      <c r="Z73" s="17" t="e">
        <f t="shared" si="18"/>
        <v>#VALUE!</v>
      </c>
      <c r="AA73" s="193" t="e">
        <f t="shared" si="18"/>
        <v>#VALUE!</v>
      </c>
    </row>
    <row r="74" spans="1:27">
      <c r="A74" s="6" t="s">
        <v>248</v>
      </c>
      <c r="B74" s="139"/>
      <c r="C74" s="17" t="e">
        <f>C73*$B$52</f>
        <v>#VALUE!</v>
      </c>
      <c r="D74" s="17" t="e">
        <f>D73*$B$52</f>
        <v>#VALUE!</v>
      </c>
      <c r="E74" s="17" t="e">
        <f t="shared" ref="E74:AA74" si="19">E73*$B$52</f>
        <v>#VALUE!</v>
      </c>
      <c r="F74" s="17" t="e">
        <f t="shared" si="19"/>
        <v>#VALUE!</v>
      </c>
      <c r="G74" s="17" t="e">
        <f t="shared" si="19"/>
        <v>#VALUE!</v>
      </c>
      <c r="H74" s="17" t="e">
        <f t="shared" si="19"/>
        <v>#VALUE!</v>
      </c>
      <c r="I74" s="17" t="e">
        <f>I73*$B$52</f>
        <v>#VALUE!</v>
      </c>
      <c r="J74" s="17" t="e">
        <f t="shared" si="19"/>
        <v>#VALUE!</v>
      </c>
      <c r="K74" s="17" t="e">
        <f t="shared" si="19"/>
        <v>#VALUE!</v>
      </c>
      <c r="L74" s="17" t="e">
        <f t="shared" si="19"/>
        <v>#VALUE!</v>
      </c>
      <c r="M74" s="17" t="e">
        <f t="shared" si="19"/>
        <v>#VALUE!</v>
      </c>
      <c r="N74" s="17" t="e">
        <f t="shared" si="19"/>
        <v>#VALUE!</v>
      </c>
      <c r="O74" s="17" t="e">
        <f t="shared" si="19"/>
        <v>#VALUE!</v>
      </c>
      <c r="P74" s="17" t="e">
        <f t="shared" si="19"/>
        <v>#VALUE!</v>
      </c>
      <c r="Q74" s="190" t="e">
        <f t="shared" si="19"/>
        <v>#VALUE!</v>
      </c>
      <c r="R74" s="191" t="e">
        <f t="shared" si="19"/>
        <v>#VALUE!</v>
      </c>
      <c r="S74" s="17" t="e">
        <f t="shared" si="19"/>
        <v>#VALUE!</v>
      </c>
      <c r="T74" s="17" t="e">
        <f t="shared" si="19"/>
        <v>#VALUE!</v>
      </c>
      <c r="U74" s="17" t="e">
        <f t="shared" si="19"/>
        <v>#VALUE!</v>
      </c>
      <c r="V74" s="230" t="e">
        <f t="shared" si="19"/>
        <v>#VALUE!</v>
      </c>
      <c r="W74" s="231" t="e">
        <f t="shared" si="19"/>
        <v>#VALUE!</v>
      </c>
      <c r="X74" s="17" t="e">
        <f t="shared" si="19"/>
        <v>#VALUE!</v>
      </c>
      <c r="Y74" s="17" t="e">
        <f t="shared" si="19"/>
        <v>#VALUE!</v>
      </c>
      <c r="Z74" s="17" t="e">
        <f t="shared" si="19"/>
        <v>#VALUE!</v>
      </c>
      <c r="AA74" s="193" t="e">
        <f t="shared" si="19"/>
        <v>#VALUE!</v>
      </c>
    </row>
    <row r="75" spans="1:27" ht="16">
      <c r="A75" s="180" t="s">
        <v>24</v>
      </c>
      <c r="B75" s="194">
        <f>B73*$B$53*(1/$B$56)</f>
        <v>0</v>
      </c>
      <c r="C75" s="200" t="e">
        <f>C73*$B$53*(1/$B$56)</f>
        <v>#VALUE!</v>
      </c>
      <c r="D75" s="200" t="e">
        <f>D73*$B$53*(1/$B$56)</f>
        <v>#VALUE!</v>
      </c>
      <c r="E75" s="194" t="e">
        <f t="shared" ref="E75:AA75" si="20">E73*$B$53*(1/$B$56)</f>
        <v>#VALUE!</v>
      </c>
      <c r="F75" s="194" t="e">
        <f t="shared" si="20"/>
        <v>#VALUE!</v>
      </c>
      <c r="G75" s="194" t="e">
        <f t="shared" si="20"/>
        <v>#VALUE!</v>
      </c>
      <c r="H75" s="194" t="e">
        <f t="shared" si="20"/>
        <v>#VALUE!</v>
      </c>
      <c r="I75" s="194" t="e">
        <f t="shared" si="20"/>
        <v>#VALUE!</v>
      </c>
      <c r="J75" s="194" t="e">
        <f t="shared" si="20"/>
        <v>#VALUE!</v>
      </c>
      <c r="K75" s="194" t="e">
        <f t="shared" si="20"/>
        <v>#VALUE!</v>
      </c>
      <c r="L75" s="194" t="e">
        <f t="shared" si="20"/>
        <v>#VALUE!</v>
      </c>
      <c r="M75" s="194" t="e">
        <f t="shared" si="20"/>
        <v>#VALUE!</v>
      </c>
      <c r="N75" s="194" t="e">
        <f t="shared" si="20"/>
        <v>#VALUE!</v>
      </c>
      <c r="O75" s="194" t="e">
        <f t="shared" si="20"/>
        <v>#VALUE!</v>
      </c>
      <c r="P75" s="194" t="e">
        <f t="shared" si="20"/>
        <v>#VALUE!</v>
      </c>
      <c r="Q75" s="195" t="e">
        <f t="shared" si="20"/>
        <v>#VALUE!</v>
      </c>
      <c r="R75" s="196" t="e">
        <f t="shared" si="20"/>
        <v>#VALUE!</v>
      </c>
      <c r="S75" s="194" t="e">
        <f t="shared" si="20"/>
        <v>#VALUE!</v>
      </c>
      <c r="T75" s="194" t="e">
        <f t="shared" si="20"/>
        <v>#VALUE!</v>
      </c>
      <c r="U75" s="194" t="e">
        <f t="shared" si="20"/>
        <v>#VALUE!</v>
      </c>
      <c r="V75" s="232" t="e">
        <f t="shared" si="20"/>
        <v>#VALUE!</v>
      </c>
      <c r="W75" s="233" t="e">
        <f t="shared" si="20"/>
        <v>#VALUE!</v>
      </c>
      <c r="X75" s="194" t="e">
        <f t="shared" si="20"/>
        <v>#VALUE!</v>
      </c>
      <c r="Y75" s="194" t="e">
        <f t="shared" si="20"/>
        <v>#VALUE!</v>
      </c>
      <c r="Z75" s="194" t="e">
        <f t="shared" si="20"/>
        <v>#VALUE!</v>
      </c>
      <c r="AA75" s="195" t="e">
        <f t="shared" si="20"/>
        <v>#VALUE!</v>
      </c>
    </row>
    <row r="76" spans="1:27" ht="16" thickBot="1">
      <c r="A76" s="197" t="s">
        <v>89</v>
      </c>
      <c r="B76" s="288">
        <f>B75*$B$4</f>
        <v>0</v>
      </c>
      <c r="C76" s="277" t="e">
        <f>C75*$B$4</f>
        <v>#VALUE!</v>
      </c>
      <c r="D76" s="277" t="e">
        <f>D75*$B$4</f>
        <v>#VALUE!</v>
      </c>
      <c r="E76" s="277" t="e">
        <f t="shared" ref="E76:V76" si="21">E75*$B$4</f>
        <v>#VALUE!</v>
      </c>
      <c r="F76" s="277" t="e">
        <f t="shared" si="21"/>
        <v>#VALUE!</v>
      </c>
      <c r="G76" s="277" t="e">
        <f t="shared" si="21"/>
        <v>#VALUE!</v>
      </c>
      <c r="H76" s="277" t="e">
        <f t="shared" si="21"/>
        <v>#VALUE!</v>
      </c>
      <c r="I76" s="277" t="e">
        <f t="shared" si="21"/>
        <v>#VALUE!</v>
      </c>
      <c r="J76" s="277" t="e">
        <f t="shared" si="21"/>
        <v>#VALUE!</v>
      </c>
      <c r="K76" s="277" t="e">
        <f t="shared" si="21"/>
        <v>#VALUE!</v>
      </c>
      <c r="L76" s="277" t="e">
        <f t="shared" si="21"/>
        <v>#VALUE!</v>
      </c>
      <c r="M76" s="277" t="e">
        <f t="shared" si="21"/>
        <v>#VALUE!</v>
      </c>
      <c r="N76" s="277" t="e">
        <f t="shared" si="21"/>
        <v>#VALUE!</v>
      </c>
      <c r="O76" s="277" t="e">
        <f t="shared" si="21"/>
        <v>#VALUE!</v>
      </c>
      <c r="P76" s="277" t="e">
        <f t="shared" si="21"/>
        <v>#VALUE!</v>
      </c>
      <c r="Q76" s="278" t="e">
        <f t="shared" si="21"/>
        <v>#VALUE!</v>
      </c>
      <c r="R76" s="279" t="e">
        <f t="shared" si="21"/>
        <v>#VALUE!</v>
      </c>
      <c r="S76" s="277" t="e">
        <f t="shared" si="21"/>
        <v>#VALUE!</v>
      </c>
      <c r="T76" s="277" t="e">
        <f t="shared" si="21"/>
        <v>#VALUE!</v>
      </c>
      <c r="U76" s="277" t="e">
        <f t="shared" si="21"/>
        <v>#VALUE!</v>
      </c>
      <c r="V76" s="289" t="e">
        <f t="shared" si="21"/>
        <v>#VALUE!</v>
      </c>
      <c r="W76" s="290" t="e">
        <f>W75*$B$4</f>
        <v>#VALUE!</v>
      </c>
      <c r="X76" s="277" t="e">
        <f>X75*$B$4</f>
        <v>#VALUE!</v>
      </c>
      <c r="Y76" s="277" t="e">
        <f>Y75*$B$4</f>
        <v>#VALUE!</v>
      </c>
      <c r="Z76" s="277" t="e">
        <f>Z75*$B$4</f>
        <v>#VALUE!</v>
      </c>
      <c r="AA76" s="281" t="e">
        <f>AA75*$B$4</f>
        <v>#VALUE!</v>
      </c>
    </row>
    <row r="77" spans="1:27">
      <c r="A77" s="6"/>
      <c r="B77" s="139"/>
      <c r="C77" s="176"/>
      <c r="D77" s="7"/>
      <c r="E77" s="7"/>
      <c r="F77" s="7"/>
      <c r="G77" s="7"/>
      <c r="H77" s="7"/>
      <c r="I77" s="7"/>
      <c r="J77" s="7"/>
      <c r="K77" s="7"/>
      <c r="L77" s="7"/>
      <c r="M77" s="7"/>
      <c r="N77" s="7"/>
      <c r="O77" s="7"/>
      <c r="P77" s="7"/>
      <c r="Q77" s="104"/>
      <c r="R77" s="174"/>
      <c r="S77" s="7"/>
      <c r="T77" s="7"/>
      <c r="U77" s="7"/>
      <c r="V77" s="225"/>
      <c r="W77" s="16"/>
      <c r="X77" s="7"/>
      <c r="Y77" s="7"/>
      <c r="Z77" s="7"/>
      <c r="AA77" s="175"/>
    </row>
    <row r="78" spans="1:27" ht="16">
      <c r="A78" s="6" t="s">
        <v>34</v>
      </c>
      <c r="B78" s="291" t="e">
        <f>B66+B70+B75</f>
        <v>#VALUE!</v>
      </c>
      <c r="C78" s="118" t="e">
        <f>C66+C70+C75</f>
        <v>#VALUE!</v>
      </c>
      <c r="D78" s="118" t="e">
        <f>D66+D70+D75</f>
        <v>#VALUE!</v>
      </c>
      <c r="E78" s="118" t="e">
        <f>E66+E70+E75</f>
        <v>#VALUE!</v>
      </c>
      <c r="F78" s="118" t="e">
        <f t="shared" ref="F78:V78" si="22">F66+F70+F75</f>
        <v>#VALUE!</v>
      </c>
      <c r="G78" s="118" t="e">
        <f t="shared" si="22"/>
        <v>#VALUE!</v>
      </c>
      <c r="H78" s="118" t="e">
        <f t="shared" si="22"/>
        <v>#VALUE!</v>
      </c>
      <c r="I78" s="118" t="e">
        <f t="shared" si="22"/>
        <v>#VALUE!</v>
      </c>
      <c r="J78" s="118" t="e">
        <f t="shared" si="22"/>
        <v>#VALUE!</v>
      </c>
      <c r="K78" s="118" t="e">
        <f t="shared" si="22"/>
        <v>#VALUE!</v>
      </c>
      <c r="L78" s="118" t="e">
        <f t="shared" si="22"/>
        <v>#VALUE!</v>
      </c>
      <c r="M78" s="118" t="e">
        <f t="shared" si="22"/>
        <v>#VALUE!</v>
      </c>
      <c r="N78" s="118" t="e">
        <f t="shared" si="22"/>
        <v>#VALUE!</v>
      </c>
      <c r="O78" s="118" t="e">
        <f t="shared" si="22"/>
        <v>#VALUE!</v>
      </c>
      <c r="P78" s="118" t="e">
        <f t="shared" si="22"/>
        <v>#VALUE!</v>
      </c>
      <c r="Q78" s="202" t="e">
        <f t="shared" si="22"/>
        <v>#VALUE!</v>
      </c>
      <c r="R78" s="136" t="e">
        <f t="shared" si="22"/>
        <v>#VALUE!</v>
      </c>
      <c r="S78" s="118" t="e">
        <f t="shared" si="22"/>
        <v>#VALUE!</v>
      </c>
      <c r="T78" s="118" t="e">
        <f t="shared" si="22"/>
        <v>#VALUE!</v>
      </c>
      <c r="U78" s="118" t="e">
        <f t="shared" si="22"/>
        <v>#VALUE!</v>
      </c>
      <c r="V78" s="234" t="e">
        <f t="shared" si="22"/>
        <v>#VALUE!</v>
      </c>
      <c r="W78" s="235" t="e">
        <f>W66+W70+W75</f>
        <v>#VALUE!</v>
      </c>
      <c r="X78" s="118" t="e">
        <f>X66+X70+X75</f>
        <v>#VALUE!</v>
      </c>
      <c r="Y78" s="118" t="e">
        <f>Y66+Y70+Y75</f>
        <v>#VALUE!</v>
      </c>
      <c r="Z78" s="118" t="e">
        <f>Z66+Z70+Z75</f>
        <v>#VALUE!</v>
      </c>
      <c r="AA78" s="204" t="e">
        <f>AA66+AA70+AA75</f>
        <v>#VALUE!</v>
      </c>
    </row>
    <row r="79" spans="1:27" ht="16" thickBot="1">
      <c r="A79" s="135" t="s">
        <v>35</v>
      </c>
      <c r="B79" s="243" t="e">
        <f>($B$4*B78)</f>
        <v>#VALUE!</v>
      </c>
      <c r="C79" s="243" t="e">
        <f>$B$4*C78</f>
        <v>#VALUE!</v>
      </c>
      <c r="D79" s="243" t="e">
        <f t="shared" ref="D79:V79" si="23">$B$4*D78</f>
        <v>#VALUE!</v>
      </c>
      <c r="E79" s="243" t="e">
        <f t="shared" si="23"/>
        <v>#VALUE!</v>
      </c>
      <c r="F79" s="243" t="e">
        <f t="shared" si="23"/>
        <v>#VALUE!</v>
      </c>
      <c r="G79" s="243" t="e">
        <f t="shared" si="23"/>
        <v>#VALUE!</v>
      </c>
      <c r="H79" s="243" t="e">
        <f t="shared" si="23"/>
        <v>#VALUE!</v>
      </c>
      <c r="I79" s="243" t="e">
        <f t="shared" si="23"/>
        <v>#VALUE!</v>
      </c>
      <c r="J79" s="243" t="e">
        <f t="shared" si="23"/>
        <v>#VALUE!</v>
      </c>
      <c r="K79" s="243" t="e">
        <f t="shared" si="23"/>
        <v>#VALUE!</v>
      </c>
      <c r="L79" s="243" t="e">
        <f t="shared" si="23"/>
        <v>#VALUE!</v>
      </c>
      <c r="M79" s="243" t="e">
        <f t="shared" si="23"/>
        <v>#VALUE!</v>
      </c>
      <c r="N79" s="243" t="e">
        <f t="shared" si="23"/>
        <v>#VALUE!</v>
      </c>
      <c r="O79" s="243" t="e">
        <f t="shared" si="23"/>
        <v>#VALUE!</v>
      </c>
      <c r="P79" s="243" t="e">
        <f t="shared" si="23"/>
        <v>#VALUE!</v>
      </c>
      <c r="Q79" s="250" t="e">
        <f t="shared" si="23"/>
        <v>#VALUE!</v>
      </c>
      <c r="R79" s="251" t="e">
        <f t="shared" si="23"/>
        <v>#VALUE!</v>
      </c>
      <c r="S79" s="243" t="e">
        <f t="shared" si="23"/>
        <v>#VALUE!</v>
      </c>
      <c r="T79" s="243" t="e">
        <f t="shared" si="23"/>
        <v>#VALUE!</v>
      </c>
      <c r="U79" s="243" t="e">
        <f t="shared" si="23"/>
        <v>#VALUE!</v>
      </c>
      <c r="V79" s="252" t="e">
        <f t="shared" si="23"/>
        <v>#VALUE!</v>
      </c>
      <c r="W79" s="253" t="e">
        <f>$B$4*W78</f>
        <v>#VALUE!</v>
      </c>
      <c r="X79" s="243" t="e">
        <f>$B$4*X78</f>
        <v>#VALUE!</v>
      </c>
      <c r="Y79" s="243" t="e">
        <f>$B$4*Y78</f>
        <v>#VALUE!</v>
      </c>
      <c r="Z79" s="243" t="e">
        <f>$B$4*Z78</f>
        <v>#VALUE!</v>
      </c>
      <c r="AA79" s="32" t="e">
        <f>$B$4*AA78</f>
        <v>#VALUE!</v>
      </c>
    </row>
    <row r="80" spans="1:27" ht="17" thickTop="1" thickBot="1">
      <c r="A80" s="236"/>
      <c r="B80" s="28" t="s">
        <v>98</v>
      </c>
      <c r="C80" s="29" t="s">
        <v>91</v>
      </c>
      <c r="D80" s="30" t="s">
        <v>92</v>
      </c>
      <c r="E80" s="205"/>
      <c r="F80" s="205"/>
      <c r="G80" s="205"/>
      <c r="H80" s="205"/>
      <c r="I80" s="205"/>
      <c r="J80" s="205"/>
      <c r="K80" s="205"/>
      <c r="L80" s="205"/>
      <c r="M80" s="205"/>
      <c r="N80" s="205"/>
      <c r="O80" s="205"/>
      <c r="P80" s="205"/>
      <c r="Q80" s="205"/>
      <c r="R80" s="205"/>
      <c r="S80" s="205"/>
      <c r="T80" s="205"/>
      <c r="U80" s="205"/>
      <c r="V80" s="205"/>
      <c r="W80" s="4"/>
      <c r="X80" s="4"/>
      <c r="Y80" s="4"/>
      <c r="Z80" s="4"/>
      <c r="AA80" s="4"/>
    </row>
    <row r="81" spans="1:27" ht="16">
      <c r="A81" s="209" t="s">
        <v>36</v>
      </c>
      <c r="B81" s="206" t="e">
        <f>NPV($B$5,C78,D78:Q78)+B78-(Q65/((1+B59)^15))</f>
        <v>#VALUE!</v>
      </c>
      <c r="C81" s="207" t="e">
        <f>NPV($B$5,C78,D78:V78)+B78-(V65/((1+B59)^20))</f>
        <v>#VALUE!</v>
      </c>
      <c r="D81" s="31" t="e">
        <f>NPV($B$5,C78,D78:AA78)+B78-(AA65/((1+B59)^25))</f>
        <v>#VALUE!</v>
      </c>
      <c r="E81" s="208"/>
      <c r="F81" s="5"/>
      <c r="G81" s="5"/>
      <c r="H81" s="5"/>
      <c r="I81" s="5"/>
      <c r="J81" s="5"/>
      <c r="K81" s="5"/>
      <c r="L81" s="5"/>
      <c r="M81" s="5"/>
      <c r="N81" s="5"/>
      <c r="O81" s="5"/>
      <c r="P81" s="5"/>
      <c r="Q81" s="5"/>
      <c r="R81" s="5"/>
      <c r="S81" s="5"/>
      <c r="T81" s="5"/>
      <c r="U81" s="5"/>
      <c r="V81" s="5"/>
      <c r="W81" s="5"/>
      <c r="X81" s="4"/>
      <c r="Y81" s="4"/>
      <c r="Z81" s="4"/>
      <c r="AA81" s="4"/>
    </row>
    <row r="82" spans="1:27">
      <c r="A82" s="209" t="s">
        <v>37</v>
      </c>
      <c r="B82" s="210" t="e">
        <f>(NPV(B59,C79,D79:Q79))+B79-(Q65*$B$4/(1+B59)^15)</f>
        <v>#VALUE!</v>
      </c>
      <c r="C82" s="211" t="e">
        <f>(NPV(B59,C79,D79:V79))+B79-(V65*$B$4/(1+B59)^20)</f>
        <v>#VALUE!</v>
      </c>
      <c r="D82" s="212" t="e">
        <f>(NPV(B59,C79,D79:AA79))+B79-(AA65*$B$4/(1+B59)^25)</f>
        <v>#VALUE!</v>
      </c>
      <c r="E82" s="213"/>
      <c r="F82" s="213"/>
      <c r="G82" s="213"/>
      <c r="H82" s="214"/>
      <c r="I82" s="23"/>
      <c r="J82" s="23"/>
      <c r="K82" s="23"/>
      <c r="L82" s="23"/>
      <c r="M82" s="23"/>
      <c r="N82" s="23"/>
      <c r="O82" s="23"/>
      <c r="P82" s="23"/>
      <c r="Q82" s="23"/>
      <c r="R82" s="23"/>
      <c r="S82" s="23"/>
      <c r="T82" s="23"/>
      <c r="U82" s="23"/>
      <c r="V82" s="23"/>
      <c r="W82" s="23"/>
      <c r="X82" s="3"/>
      <c r="Y82" s="4"/>
      <c r="Z82" s="4"/>
      <c r="AA82" s="4"/>
    </row>
    <row r="83" spans="1:27">
      <c r="A83" s="209" t="s">
        <v>85</v>
      </c>
      <c r="B83" s="210" t="e">
        <f>NPV(B59,C67,D67:Q67)+B67-(Q65*$B$4/(1+B59)^15)</f>
        <v>#VALUE!</v>
      </c>
      <c r="C83" s="211" t="e">
        <f>NPV(B59,C67,D67:V67)+B67-(V65*$B$4/(1+B59)^20)</f>
        <v>#VALUE!</v>
      </c>
      <c r="D83" s="212" t="e">
        <f>NPV(B59,C67,D67:AA67)+B67-(AA65*$B$4/(1+B59)^25)</f>
        <v>#VALUE!</v>
      </c>
      <c r="E83" s="213"/>
      <c r="F83" s="213"/>
      <c r="G83" s="213"/>
      <c r="H83" s="214"/>
      <c r="I83" s="23"/>
      <c r="J83" s="23"/>
      <c r="K83" s="23"/>
      <c r="L83" s="23"/>
      <c r="M83" s="23"/>
      <c r="N83" s="23"/>
      <c r="O83" s="23"/>
      <c r="P83" s="23"/>
      <c r="Q83" s="23"/>
      <c r="R83" s="23"/>
      <c r="S83" s="23"/>
      <c r="T83" s="23"/>
      <c r="U83" s="23"/>
      <c r="V83" s="23"/>
      <c r="W83" s="23"/>
      <c r="X83" s="3"/>
      <c r="Y83" s="4"/>
      <c r="Z83" s="4"/>
      <c r="AA83" s="4"/>
    </row>
    <row r="84" spans="1:27">
      <c r="A84" s="209" t="s">
        <v>86</v>
      </c>
      <c r="B84" s="210" t="e">
        <f>NPV(B59,C71,D71:Q71)+B71</f>
        <v>#VALUE!</v>
      </c>
      <c r="C84" s="211" t="e">
        <f>NPV(B59,C71,D71:V71)+B71</f>
        <v>#VALUE!</v>
      </c>
      <c r="D84" s="212" t="e">
        <f>NPV(B59,C71,D71:AA71)+B71</f>
        <v>#VALUE!</v>
      </c>
      <c r="E84" s="213"/>
      <c r="F84" s="213"/>
      <c r="G84" s="213"/>
      <c r="H84" s="214"/>
      <c r="I84" s="23"/>
      <c r="J84" s="23"/>
      <c r="K84" s="23"/>
      <c r="L84" s="23"/>
      <c r="M84" s="23"/>
      <c r="N84" s="23"/>
      <c r="O84" s="23"/>
      <c r="P84" s="23"/>
      <c r="Q84" s="23"/>
      <c r="R84" s="23"/>
      <c r="S84" s="23"/>
      <c r="T84" s="23"/>
      <c r="U84" s="23"/>
      <c r="V84" s="23"/>
      <c r="W84" s="23"/>
      <c r="X84" s="3"/>
      <c r="Y84" s="4"/>
      <c r="Z84" s="4"/>
      <c r="AA84" s="4"/>
    </row>
    <row r="85" spans="1:27">
      <c r="A85" s="209" t="s">
        <v>90</v>
      </c>
      <c r="B85" s="210" t="e">
        <f>NPV(B59,C76,D76:Q76)+B76</f>
        <v>#VALUE!</v>
      </c>
      <c r="C85" s="211" t="e">
        <f>NPV(B59,C76,D76:V76)+B76</f>
        <v>#VALUE!</v>
      </c>
      <c r="D85" s="212" t="e">
        <f>NPV(B59,C76,D76:AA76)+B76</f>
        <v>#VALUE!</v>
      </c>
      <c r="E85" s="213"/>
      <c r="F85" s="213"/>
      <c r="G85" s="213"/>
      <c r="H85" s="214"/>
      <c r="I85" s="23"/>
      <c r="J85" s="23"/>
      <c r="K85" s="23"/>
      <c r="L85" s="23"/>
      <c r="M85" s="23"/>
      <c r="N85" s="23"/>
      <c r="O85" s="23"/>
      <c r="P85" s="23"/>
      <c r="Q85" s="23"/>
      <c r="R85" s="23"/>
      <c r="S85" s="23"/>
      <c r="T85" s="23"/>
      <c r="U85" s="23"/>
      <c r="V85" s="23"/>
      <c r="W85" s="23"/>
      <c r="X85" s="3"/>
      <c r="Y85" s="4"/>
      <c r="Z85" s="4"/>
      <c r="AA85" s="4"/>
    </row>
    <row r="86" spans="1:27" s="1" customFormat="1" ht="16" thickBot="1">
      <c r="A86" s="215" t="s">
        <v>303</v>
      </c>
      <c r="B86" s="216" t="e">
        <f>((Q65-Q64)/(1+B59)^15)*$B$4</f>
        <v>#VALUE!</v>
      </c>
      <c r="C86" s="217" t="e">
        <f>((V65-V64)/(1+B59)^20)*$B$4</f>
        <v>#VALUE!</v>
      </c>
      <c r="D86" s="218" t="e">
        <f>(AA65/(1+B59)^25)*$B$4</f>
        <v>#VALUE!</v>
      </c>
      <c r="E86" s="219"/>
      <c r="F86" s="219"/>
      <c r="G86" s="219"/>
      <c r="H86" s="23"/>
      <c r="I86" s="23"/>
      <c r="J86" s="23"/>
      <c r="K86" s="23"/>
      <c r="L86" s="23"/>
      <c r="M86" s="23"/>
      <c r="N86" s="23"/>
      <c r="O86" s="23"/>
      <c r="P86" s="23"/>
      <c r="Q86" s="23"/>
      <c r="R86" s="23"/>
      <c r="S86" s="23"/>
      <c r="T86" s="23"/>
      <c r="U86" s="23"/>
      <c r="V86" s="23"/>
      <c r="W86" s="23"/>
      <c r="X86" s="3"/>
      <c r="Y86" s="3"/>
      <c r="Z86" s="3"/>
      <c r="AA86" s="3"/>
    </row>
    <row r="87" spans="1:27" s="27" customFormat="1" ht="16" thickTop="1">
      <c r="A87" s="58"/>
      <c r="B87" s="480"/>
      <c r="C87" s="480"/>
      <c r="D87" s="480"/>
      <c r="E87" s="238"/>
      <c r="F87" s="238"/>
      <c r="G87" s="238"/>
      <c r="H87" s="239"/>
      <c r="I87" s="240"/>
      <c r="J87" s="240"/>
      <c r="K87" s="240"/>
      <c r="L87" s="240"/>
      <c r="M87" s="240"/>
      <c r="N87" s="240"/>
      <c r="O87" s="240"/>
      <c r="P87" s="240"/>
      <c r="Q87" s="240"/>
      <c r="R87" s="240"/>
      <c r="S87" s="240"/>
      <c r="T87" s="240"/>
      <c r="U87" s="240"/>
      <c r="V87" s="240"/>
      <c r="W87" s="240"/>
      <c r="X87" s="241"/>
      <c r="Y87" s="242"/>
      <c r="Z87" s="242"/>
      <c r="AA87" s="242"/>
    </row>
    <row r="88" spans="1:27" ht="16" thickBot="1">
      <c r="A88" s="4"/>
      <c r="B88" s="481"/>
      <c r="C88" s="13"/>
      <c r="D88" s="486"/>
      <c r="E88" s="5"/>
      <c r="F88" s="5"/>
      <c r="G88" s="5"/>
      <c r="H88" s="5"/>
      <c r="I88" s="5"/>
      <c r="J88" s="5"/>
      <c r="K88" s="5"/>
      <c r="L88" s="5"/>
      <c r="M88" s="5"/>
      <c r="N88" s="5"/>
      <c r="O88" s="5"/>
      <c r="P88" s="5"/>
      <c r="Q88" s="5"/>
      <c r="R88" s="5"/>
      <c r="S88" s="5"/>
      <c r="T88" s="5"/>
      <c r="U88" s="5"/>
      <c r="V88" s="5"/>
      <c r="W88" s="4"/>
      <c r="X88" s="4"/>
      <c r="Y88" s="4"/>
      <c r="Z88" s="4"/>
      <c r="AA88" s="4"/>
    </row>
    <row r="89" spans="1:27" ht="35" customHeight="1" thickTop="1" thickBot="1">
      <c r="A89" s="1014" t="s">
        <v>345</v>
      </c>
      <c r="B89" s="1015"/>
      <c r="C89" s="220"/>
      <c r="D89" s="149"/>
      <c r="E89" s="149"/>
      <c r="F89" s="149"/>
      <c r="G89" s="149"/>
      <c r="H89" s="149"/>
      <c r="I89" s="149"/>
      <c r="J89" s="149"/>
      <c r="K89" s="149"/>
      <c r="L89" s="149"/>
      <c r="M89" s="149"/>
      <c r="N89" s="149"/>
      <c r="O89" s="149"/>
      <c r="P89" s="149"/>
      <c r="Q89" s="149"/>
      <c r="R89" s="149"/>
      <c r="S89" s="149"/>
      <c r="T89" s="149"/>
      <c r="U89" s="149"/>
      <c r="V89" s="149"/>
      <c r="W89" s="4"/>
      <c r="X89" s="4"/>
      <c r="Y89" s="4"/>
      <c r="Z89" s="4"/>
      <c r="AA89" s="4"/>
    </row>
    <row r="90" spans="1:27">
      <c r="A90" s="150" t="s">
        <v>83</v>
      </c>
      <c r="B90" s="657" t="str">
        <f>IF(OR(Inputs!E25="No",Inputs!$C$8="Yes"),"",Inputs!D18)</f>
        <v/>
      </c>
      <c r="C90" s="152" t="s">
        <v>193</v>
      </c>
      <c r="D90" s="149"/>
      <c r="E90" s="149"/>
      <c r="F90" s="149"/>
      <c r="G90" s="149"/>
      <c r="H90" s="149"/>
      <c r="I90" s="149"/>
      <c r="J90" s="149"/>
      <c r="K90" s="149"/>
      <c r="L90" s="149"/>
      <c r="M90" s="149"/>
      <c r="N90" s="149"/>
      <c r="O90" s="149"/>
      <c r="P90" s="149"/>
      <c r="Q90" s="149"/>
      <c r="R90" s="149"/>
      <c r="S90" s="149"/>
      <c r="T90" s="149"/>
      <c r="U90" s="149"/>
      <c r="V90" s="149"/>
      <c r="W90" s="4"/>
      <c r="X90" s="4"/>
      <c r="Y90" s="4"/>
      <c r="Z90" s="4"/>
      <c r="AA90" s="4"/>
    </row>
    <row r="91" spans="1:27">
      <c r="A91" s="150" t="s">
        <v>221</v>
      </c>
      <c r="B91" s="151">
        <v>0</v>
      </c>
      <c r="C91" s="152"/>
      <c r="D91" s="149"/>
      <c r="E91" s="149"/>
      <c r="F91" s="149"/>
      <c r="G91" s="149"/>
      <c r="H91" s="149"/>
      <c r="I91" s="149"/>
      <c r="J91" s="149"/>
      <c r="K91" s="149"/>
      <c r="L91" s="149"/>
      <c r="M91" s="149"/>
      <c r="N91" s="149"/>
      <c r="O91" s="149"/>
      <c r="P91" s="149"/>
      <c r="Q91" s="149"/>
      <c r="R91" s="149"/>
      <c r="S91" s="149"/>
      <c r="T91" s="149"/>
      <c r="U91" s="149"/>
      <c r="V91" s="149"/>
      <c r="W91" s="4"/>
      <c r="X91" s="4"/>
      <c r="Y91" s="4"/>
      <c r="Z91" s="4"/>
      <c r="AA91" s="4"/>
    </row>
    <row r="92" spans="1:27" ht="16">
      <c r="A92" s="150" t="s">
        <v>412</v>
      </c>
      <c r="B92" s="658">
        <f>Inputs!$D$11</f>
        <v>12</v>
      </c>
      <c r="C92" s="154" t="s">
        <v>290</v>
      </c>
      <c r="D92" s="149"/>
      <c r="E92" s="149"/>
      <c r="F92" s="149"/>
      <c r="G92" s="149"/>
      <c r="H92" s="149"/>
      <c r="I92" s="149"/>
      <c r="J92" s="149"/>
      <c r="K92" s="149"/>
      <c r="L92" s="149"/>
      <c r="M92" s="149"/>
      <c r="N92" s="149"/>
      <c r="O92" s="149"/>
      <c r="P92" s="149"/>
      <c r="Q92" s="149"/>
      <c r="R92" s="149"/>
      <c r="S92" s="149"/>
      <c r="T92" s="149"/>
      <c r="U92" s="149"/>
      <c r="V92" s="149"/>
      <c r="W92" s="4"/>
      <c r="X92" s="4"/>
      <c r="Y92" s="4"/>
      <c r="Z92" s="4"/>
      <c r="AA92" s="4"/>
    </row>
    <row r="93" spans="1:27">
      <c r="A93" s="150" t="s">
        <v>100</v>
      </c>
      <c r="B93" s="658">
        <f>Inputs!K25</f>
        <v>0.85</v>
      </c>
      <c r="C93" s="155" t="s">
        <v>196</v>
      </c>
      <c r="D93" s="149"/>
      <c r="E93" s="149"/>
      <c r="F93" s="149"/>
      <c r="G93" s="149"/>
      <c r="H93" s="149"/>
      <c r="I93" s="149"/>
      <c r="J93" s="149"/>
      <c r="K93" s="149"/>
      <c r="L93" s="149"/>
      <c r="M93" s="149"/>
      <c r="N93" s="149"/>
      <c r="O93" s="149"/>
      <c r="P93" s="149"/>
      <c r="Q93" s="149"/>
      <c r="R93" s="149"/>
      <c r="S93" s="149"/>
      <c r="T93" s="149"/>
      <c r="U93" s="149"/>
      <c r="V93" s="149"/>
      <c r="W93" s="4"/>
      <c r="X93" s="4"/>
      <c r="Y93" s="4"/>
      <c r="Z93" s="4"/>
      <c r="AA93" s="4"/>
    </row>
    <row r="94" spans="1:27">
      <c r="A94" s="150" t="s">
        <v>84</v>
      </c>
      <c r="B94" s="156">
        <f>'System Efficiencies'!C2</f>
        <v>0.95</v>
      </c>
      <c r="C94" s="155" t="s">
        <v>196</v>
      </c>
      <c r="D94" s="149"/>
      <c r="E94" s="149"/>
      <c r="F94" s="149"/>
      <c r="G94" s="149"/>
      <c r="H94" s="149"/>
      <c r="I94" s="149"/>
      <c r="J94" s="149"/>
      <c r="K94" s="149"/>
      <c r="L94" s="149"/>
      <c r="M94" s="149"/>
      <c r="N94" s="149"/>
      <c r="O94" s="149"/>
      <c r="P94" s="149"/>
      <c r="Q94" s="149"/>
      <c r="R94" s="149"/>
      <c r="S94" s="149"/>
      <c r="T94" s="149"/>
      <c r="U94" s="149"/>
      <c r="V94" s="149"/>
      <c r="W94" s="4"/>
      <c r="X94" s="4"/>
      <c r="Y94" s="4"/>
      <c r="Z94" s="4"/>
      <c r="AA94" s="4"/>
    </row>
    <row r="95" spans="1:27">
      <c r="A95" s="150" t="s">
        <v>99</v>
      </c>
      <c r="B95" s="659">
        <f>B93*B94</f>
        <v>0.8075</v>
      </c>
      <c r="C95" s="155" t="s">
        <v>196</v>
      </c>
      <c r="D95" s="149"/>
      <c r="E95" s="149"/>
      <c r="F95" s="149"/>
      <c r="G95" s="149"/>
      <c r="H95" s="149"/>
      <c r="I95" s="149"/>
      <c r="J95" s="149"/>
      <c r="K95" s="149"/>
      <c r="L95" s="149"/>
      <c r="M95" s="149"/>
      <c r="N95" s="149"/>
      <c r="O95" s="149"/>
      <c r="P95" s="149"/>
      <c r="Q95" s="149"/>
      <c r="R95" s="149"/>
      <c r="S95" s="149"/>
      <c r="T95" s="149"/>
      <c r="U95" s="149"/>
      <c r="V95" s="149"/>
      <c r="W95" s="4"/>
      <c r="X95" s="4"/>
      <c r="Y95" s="4"/>
      <c r="Z95" s="4"/>
      <c r="AA95" s="4"/>
    </row>
    <row r="96" spans="1:27" ht="16">
      <c r="A96" s="150" t="s">
        <v>82</v>
      </c>
      <c r="B96" s="658" t="str">
        <f>IF(Inputs!$C$8="Yes",0,Inputs!I25)</f>
        <v>N/A</v>
      </c>
      <c r="C96" s="157" t="s">
        <v>195</v>
      </c>
      <c r="D96" s="149"/>
      <c r="E96" s="149"/>
      <c r="F96" s="149"/>
      <c r="G96" s="149"/>
      <c r="H96" s="149"/>
      <c r="I96" s="149"/>
      <c r="J96" s="149"/>
      <c r="K96" s="149"/>
      <c r="L96" s="149"/>
      <c r="M96" s="149"/>
      <c r="N96" s="149"/>
      <c r="O96" s="149"/>
      <c r="P96" s="149"/>
      <c r="Q96" s="149"/>
      <c r="R96" s="149"/>
      <c r="S96" s="149"/>
      <c r="T96" s="149"/>
      <c r="U96" s="149"/>
      <c r="V96" s="149"/>
      <c r="W96" s="4"/>
      <c r="X96" s="4"/>
      <c r="Y96" s="4"/>
      <c r="Z96" s="4"/>
      <c r="AA96" s="4"/>
    </row>
    <row r="97" spans="1:27">
      <c r="A97" s="150" t="s">
        <v>81</v>
      </c>
      <c r="B97" s="153">
        <f>'Capital Cost Structure'!E18</f>
        <v>25</v>
      </c>
      <c r="C97" s="157" t="s">
        <v>195</v>
      </c>
      <c r="D97" s="149"/>
      <c r="E97" s="302" t="s">
        <v>131</v>
      </c>
      <c r="F97" s="149"/>
      <c r="G97" s="149"/>
      <c r="H97" s="149"/>
      <c r="I97" s="149"/>
      <c r="J97" s="149"/>
      <c r="K97" s="149"/>
      <c r="L97" s="149"/>
      <c r="M97" s="149"/>
      <c r="N97" s="149"/>
      <c r="O97" s="149"/>
      <c r="P97" s="149"/>
      <c r="Q97" s="149"/>
      <c r="R97" s="149"/>
      <c r="S97" s="149"/>
      <c r="T97" s="149"/>
      <c r="U97" s="149"/>
      <c r="V97" s="149"/>
      <c r="W97" s="4"/>
      <c r="X97" s="4"/>
      <c r="Y97" s="4"/>
      <c r="Z97" s="4"/>
      <c r="AA97" s="4"/>
    </row>
    <row r="98" spans="1:27">
      <c r="A98" s="150" t="s">
        <v>32</v>
      </c>
      <c r="B98" s="153">
        <f>$B$5</f>
        <v>0.05</v>
      </c>
      <c r="C98" s="158" t="s">
        <v>194</v>
      </c>
      <c r="D98" s="149"/>
      <c r="E98" s="149"/>
      <c r="F98" s="149"/>
      <c r="G98" s="149"/>
      <c r="H98" s="149"/>
      <c r="I98" s="149"/>
      <c r="J98" s="149"/>
      <c r="K98" s="149"/>
      <c r="L98" s="149"/>
      <c r="M98" s="149"/>
      <c r="N98" s="149"/>
      <c r="O98" s="149"/>
      <c r="P98" s="149"/>
      <c r="Q98" s="149"/>
      <c r="R98" s="149"/>
      <c r="S98" s="149"/>
      <c r="T98" s="149"/>
      <c r="U98" s="149"/>
      <c r="V98" s="149"/>
      <c r="W98" s="4"/>
      <c r="X98" s="4"/>
      <c r="Y98" s="4"/>
      <c r="Z98" s="4"/>
      <c r="AA98" s="4"/>
    </row>
    <row r="99" spans="1:27" ht="16" thickBot="1">
      <c r="A99" s="159" t="s">
        <v>405</v>
      </c>
      <c r="B99" s="547">
        <f>Inputs!F25</f>
        <v>0</v>
      </c>
      <c r="C99" s="158" t="s">
        <v>194</v>
      </c>
      <c r="D99" s="160"/>
      <c r="E99" s="161"/>
      <c r="F99" s="161"/>
      <c r="G99" s="161"/>
      <c r="H99" s="161"/>
      <c r="I99" s="161"/>
      <c r="J99" s="161"/>
      <c r="K99" s="161"/>
      <c r="L99" s="161"/>
      <c r="M99" s="161"/>
      <c r="N99" s="161"/>
      <c r="O99" s="161"/>
      <c r="P99" s="161"/>
      <c r="Q99" s="161"/>
      <c r="R99" s="161"/>
      <c r="S99" s="161"/>
      <c r="T99" s="161"/>
      <c r="U99" s="161"/>
      <c r="V99" s="161"/>
      <c r="W99" s="4"/>
      <c r="X99" s="4"/>
      <c r="Y99" s="4"/>
      <c r="Z99" s="4"/>
      <c r="AA99" s="4"/>
    </row>
    <row r="100" spans="1:27" ht="17" thickTop="1" thickBot="1">
      <c r="A100" s="209" t="s">
        <v>0</v>
      </c>
      <c r="B100" s="139" t="s">
        <v>51</v>
      </c>
      <c r="C100" s="165" t="s">
        <v>1</v>
      </c>
      <c r="D100" s="117" t="s">
        <v>2</v>
      </c>
      <c r="E100" s="117" t="s">
        <v>3</v>
      </c>
      <c r="F100" s="117" t="s">
        <v>4</v>
      </c>
      <c r="G100" s="117" t="s">
        <v>5</v>
      </c>
      <c r="H100" s="117" t="s">
        <v>6</v>
      </c>
      <c r="I100" s="117" t="s">
        <v>7</v>
      </c>
      <c r="J100" s="117" t="s">
        <v>8</v>
      </c>
      <c r="K100" s="117" t="s">
        <v>9</v>
      </c>
      <c r="L100" s="117" t="s">
        <v>10</v>
      </c>
      <c r="M100" s="117" t="s">
        <v>11</v>
      </c>
      <c r="N100" s="117" t="s">
        <v>12</v>
      </c>
      <c r="O100" s="117" t="s">
        <v>13</v>
      </c>
      <c r="P100" s="117" t="s">
        <v>14</v>
      </c>
      <c r="Q100" s="162" t="s">
        <v>15</v>
      </c>
      <c r="R100" s="139" t="s">
        <v>16</v>
      </c>
      <c r="S100" s="117" t="s">
        <v>17</v>
      </c>
      <c r="T100" s="117" t="s">
        <v>18</v>
      </c>
      <c r="U100" s="117" t="s">
        <v>19</v>
      </c>
      <c r="V100" s="221" t="s">
        <v>20</v>
      </c>
      <c r="W100" s="119" t="s">
        <v>93</v>
      </c>
      <c r="X100" s="120" t="s">
        <v>94</v>
      </c>
      <c r="Y100" s="120" t="s">
        <v>95</v>
      </c>
      <c r="Z100" s="120" t="s">
        <v>96</v>
      </c>
      <c r="AA100" s="222" t="s">
        <v>97</v>
      </c>
    </row>
    <row r="101" spans="1:27" ht="16">
      <c r="A101" s="167" t="s">
        <v>314</v>
      </c>
      <c r="B101" s="168" t="e">
        <f>B96*(1-Inputs!G25)</f>
        <v>#VALUE!</v>
      </c>
      <c r="C101" s="169"/>
      <c r="D101" s="169"/>
      <c r="E101" s="169"/>
      <c r="F101" s="169"/>
      <c r="G101" s="169"/>
      <c r="H101" s="169"/>
      <c r="I101" s="169"/>
      <c r="J101" s="169"/>
      <c r="K101" s="169"/>
      <c r="L101" s="169"/>
      <c r="M101" s="169"/>
      <c r="N101" s="169"/>
      <c r="O101" s="169"/>
      <c r="P101" s="169"/>
      <c r="Q101" s="170"/>
      <c r="R101" s="171"/>
      <c r="S101" s="169"/>
      <c r="T101" s="169"/>
      <c r="U101" s="169"/>
      <c r="V101" s="223"/>
      <c r="W101" s="224"/>
      <c r="X101" s="169"/>
      <c r="Y101" s="169"/>
      <c r="Z101" s="169"/>
      <c r="AA101" s="173"/>
    </row>
    <row r="102" spans="1:27">
      <c r="A102" s="6" t="s">
        <v>270</v>
      </c>
      <c r="B102" s="139"/>
      <c r="C102" s="7"/>
      <c r="D102" s="7"/>
      <c r="E102" s="7"/>
      <c r="F102" s="7"/>
      <c r="G102" s="269" t="s">
        <v>145</v>
      </c>
      <c r="H102" s="127"/>
      <c r="I102" s="127"/>
      <c r="J102" s="127"/>
      <c r="K102" s="127"/>
      <c r="L102" s="269" t="s">
        <v>372</v>
      </c>
      <c r="M102" s="7"/>
      <c r="N102" s="7"/>
      <c r="O102" s="7"/>
      <c r="P102" s="7"/>
      <c r="Q102" s="162" t="s">
        <v>373</v>
      </c>
      <c r="R102" s="174"/>
      <c r="S102" s="7"/>
      <c r="T102" s="7"/>
      <c r="U102" s="7"/>
      <c r="V102" s="221" t="s">
        <v>266</v>
      </c>
      <c r="W102" s="16"/>
      <c r="X102" s="7"/>
      <c r="Y102" s="7"/>
      <c r="Z102" s="7"/>
      <c r="AA102" s="175"/>
    </row>
    <row r="103" spans="1:27" ht="16">
      <c r="A103" s="6" t="s">
        <v>38</v>
      </c>
      <c r="B103" s="139">
        <v>0</v>
      </c>
      <c r="C103" s="7"/>
      <c r="D103" s="7"/>
      <c r="E103" s="7"/>
      <c r="F103" s="7"/>
      <c r="G103" s="651" t="e">
        <f>('Capital Cost Structure'!F23*B96)</f>
        <v>#VALUE!</v>
      </c>
      <c r="H103" s="7"/>
      <c r="I103" s="7"/>
      <c r="J103" s="7"/>
      <c r="K103" s="7"/>
      <c r="L103" s="651" t="e">
        <f>('Capital Cost Structure'!F23*B96)+('Capital Cost Structure'!F22*B96)</f>
        <v>#VALUE!</v>
      </c>
      <c r="M103" s="7"/>
      <c r="N103" s="7"/>
      <c r="O103" s="7"/>
      <c r="P103" s="7"/>
      <c r="Q103" s="653" t="e">
        <f>('Capital Cost Structure'!F23*B96)+('Capital Cost Structure'!F24*B96)+('Capital Cost Structure'!F19*B96)+('Capital Cost Structure'!F20*B96)</f>
        <v>#VALUE!</v>
      </c>
      <c r="R103" s="174"/>
      <c r="S103" s="7"/>
      <c r="T103" s="7"/>
      <c r="U103" s="7"/>
      <c r="V103" s="655" t="e">
        <f>('Capital Cost Structure'!F23*B96)+('Capital Cost Structure'!F24*B96)</f>
        <v>#VALUE!</v>
      </c>
      <c r="W103" s="16"/>
      <c r="X103" s="7"/>
      <c r="Y103" s="7"/>
      <c r="Z103" s="7"/>
      <c r="AA103" s="175"/>
    </row>
    <row r="104" spans="1:27">
      <c r="A104" s="6" t="s">
        <v>50</v>
      </c>
      <c r="B104" s="139" t="e">
        <f>B101</f>
        <v>#VALUE!</v>
      </c>
      <c r="C104" s="7" t="e">
        <f>B104+C103-($B$101/$B$97)</f>
        <v>#VALUE!</v>
      </c>
      <c r="D104" s="177" t="e">
        <f t="shared" ref="D104:AA104" si="24">C104+D103-($B$101/$B$97)</f>
        <v>#VALUE!</v>
      </c>
      <c r="E104" s="177" t="e">
        <f t="shared" si="24"/>
        <v>#VALUE!</v>
      </c>
      <c r="F104" s="177" t="e">
        <f t="shared" si="24"/>
        <v>#VALUE!</v>
      </c>
      <c r="G104" s="177" t="e">
        <f t="shared" si="24"/>
        <v>#VALUE!</v>
      </c>
      <c r="H104" s="177" t="e">
        <f t="shared" si="24"/>
        <v>#VALUE!</v>
      </c>
      <c r="I104" s="177" t="e">
        <f t="shared" si="24"/>
        <v>#VALUE!</v>
      </c>
      <c r="J104" s="177" t="e">
        <f t="shared" si="24"/>
        <v>#VALUE!</v>
      </c>
      <c r="K104" s="177" t="e">
        <f t="shared" si="24"/>
        <v>#VALUE!</v>
      </c>
      <c r="L104" s="177" t="e">
        <f t="shared" si="24"/>
        <v>#VALUE!</v>
      </c>
      <c r="M104" s="177" t="e">
        <f t="shared" si="24"/>
        <v>#VALUE!</v>
      </c>
      <c r="N104" s="177" t="e">
        <f t="shared" si="24"/>
        <v>#VALUE!</v>
      </c>
      <c r="O104" s="177" t="e">
        <f t="shared" si="24"/>
        <v>#VALUE!</v>
      </c>
      <c r="P104" s="177" t="e">
        <f t="shared" si="24"/>
        <v>#VALUE!</v>
      </c>
      <c r="Q104" s="244" t="e">
        <f t="shared" si="24"/>
        <v>#VALUE!</v>
      </c>
      <c r="R104" s="245" t="e">
        <f t="shared" si="24"/>
        <v>#VALUE!</v>
      </c>
      <c r="S104" s="177" t="e">
        <f t="shared" si="24"/>
        <v>#VALUE!</v>
      </c>
      <c r="T104" s="177" t="e">
        <f t="shared" si="24"/>
        <v>#VALUE!</v>
      </c>
      <c r="U104" s="177" t="e">
        <f t="shared" si="24"/>
        <v>#VALUE!</v>
      </c>
      <c r="V104" s="246" t="e">
        <f t="shared" si="24"/>
        <v>#VALUE!</v>
      </c>
      <c r="W104" s="247" t="e">
        <f t="shared" si="24"/>
        <v>#VALUE!</v>
      </c>
      <c r="X104" s="177" t="e">
        <f t="shared" si="24"/>
        <v>#VALUE!</v>
      </c>
      <c r="Y104" s="177" t="e">
        <f t="shared" si="24"/>
        <v>#VALUE!</v>
      </c>
      <c r="Z104" s="177" t="e">
        <f t="shared" si="24"/>
        <v>#VALUE!</v>
      </c>
      <c r="AA104" s="178" t="e">
        <f t="shared" si="24"/>
        <v>#VALUE!</v>
      </c>
    </row>
    <row r="105" spans="1:27" ht="16">
      <c r="A105" s="180" t="s">
        <v>22</v>
      </c>
      <c r="B105" s="181" t="e">
        <f>B101+B103+(B99/$B$4)</f>
        <v>#VALUE!</v>
      </c>
      <c r="C105" s="181">
        <f>C101+C103</f>
        <v>0</v>
      </c>
      <c r="D105" s="181">
        <f t="shared" ref="D105:AA105" si="25">D101+D103</f>
        <v>0</v>
      </c>
      <c r="E105" s="181">
        <f t="shared" si="25"/>
        <v>0</v>
      </c>
      <c r="F105" s="181">
        <f t="shared" si="25"/>
        <v>0</v>
      </c>
      <c r="G105" s="181" t="e">
        <f>G101+G103</f>
        <v>#VALUE!</v>
      </c>
      <c r="H105" s="181">
        <f t="shared" si="25"/>
        <v>0</v>
      </c>
      <c r="I105" s="181">
        <f t="shared" si="25"/>
        <v>0</v>
      </c>
      <c r="J105" s="181">
        <f t="shared" si="25"/>
        <v>0</v>
      </c>
      <c r="K105" s="181">
        <f t="shared" si="25"/>
        <v>0</v>
      </c>
      <c r="L105" s="181" t="e">
        <f t="shared" si="25"/>
        <v>#VALUE!</v>
      </c>
      <c r="M105" s="181">
        <f t="shared" si="25"/>
        <v>0</v>
      </c>
      <c r="N105" s="181">
        <f t="shared" si="25"/>
        <v>0</v>
      </c>
      <c r="O105" s="181">
        <f t="shared" si="25"/>
        <v>0</v>
      </c>
      <c r="P105" s="181">
        <f t="shared" si="25"/>
        <v>0</v>
      </c>
      <c r="Q105" s="182" t="e">
        <f t="shared" si="25"/>
        <v>#VALUE!</v>
      </c>
      <c r="R105" s="183">
        <f t="shared" si="25"/>
        <v>0</v>
      </c>
      <c r="S105" s="181">
        <f t="shared" si="25"/>
        <v>0</v>
      </c>
      <c r="T105" s="181">
        <f t="shared" si="25"/>
        <v>0</v>
      </c>
      <c r="U105" s="181">
        <f t="shared" si="25"/>
        <v>0</v>
      </c>
      <c r="V105" s="226" t="e">
        <f>V101+V103</f>
        <v>#VALUE!</v>
      </c>
      <c r="W105" s="227">
        <f t="shared" si="25"/>
        <v>0</v>
      </c>
      <c r="X105" s="181">
        <f t="shared" si="25"/>
        <v>0</v>
      </c>
      <c r="Y105" s="181">
        <f t="shared" si="25"/>
        <v>0</v>
      </c>
      <c r="Z105" s="181">
        <f t="shared" si="25"/>
        <v>0</v>
      </c>
      <c r="AA105" s="182">
        <f t="shared" si="25"/>
        <v>0</v>
      </c>
    </row>
    <row r="106" spans="1:27" s="10" customFormat="1" ht="16" thickBot="1">
      <c r="A106" s="184" t="s">
        <v>87</v>
      </c>
      <c r="B106" s="185" t="e">
        <f>(B105*$B$4)</f>
        <v>#VALUE!</v>
      </c>
      <c r="C106" s="186">
        <f>C105*$B$4</f>
        <v>0</v>
      </c>
      <c r="D106" s="186">
        <f>D105*$B$4</f>
        <v>0</v>
      </c>
      <c r="E106" s="186">
        <f>E105*$B$4</f>
        <v>0</v>
      </c>
      <c r="F106" s="186">
        <f>F105*$B$4</f>
        <v>0</v>
      </c>
      <c r="G106" s="186" t="e">
        <f>G105*$B$4</f>
        <v>#VALUE!</v>
      </c>
      <c r="H106" s="186">
        <f t="shared" ref="H106:U106" si="26">H105*$B$4</f>
        <v>0</v>
      </c>
      <c r="I106" s="186">
        <f t="shared" si="26"/>
        <v>0</v>
      </c>
      <c r="J106" s="186">
        <f t="shared" si="26"/>
        <v>0</v>
      </c>
      <c r="K106" s="186">
        <f t="shared" si="26"/>
        <v>0</v>
      </c>
      <c r="L106" s="186" t="e">
        <f t="shared" si="26"/>
        <v>#VALUE!</v>
      </c>
      <c r="M106" s="186">
        <f t="shared" si="26"/>
        <v>0</v>
      </c>
      <c r="N106" s="186">
        <f t="shared" si="26"/>
        <v>0</v>
      </c>
      <c r="O106" s="186">
        <f t="shared" si="26"/>
        <v>0</v>
      </c>
      <c r="P106" s="186">
        <f t="shared" si="26"/>
        <v>0</v>
      </c>
      <c r="Q106" s="187" t="e">
        <f>Q105*$B$4</f>
        <v>#VALUE!</v>
      </c>
      <c r="R106" s="185">
        <f t="shared" si="26"/>
        <v>0</v>
      </c>
      <c r="S106" s="186">
        <f t="shared" si="26"/>
        <v>0</v>
      </c>
      <c r="T106" s="186">
        <f t="shared" si="26"/>
        <v>0</v>
      </c>
      <c r="U106" s="186">
        <f t="shared" si="26"/>
        <v>0</v>
      </c>
      <c r="V106" s="228" t="e">
        <f t="shared" ref="V106:AA106" si="27">V105*$B$4</f>
        <v>#VALUE!</v>
      </c>
      <c r="W106" s="229">
        <f t="shared" si="27"/>
        <v>0</v>
      </c>
      <c r="X106" s="186">
        <f t="shared" si="27"/>
        <v>0</v>
      </c>
      <c r="Y106" s="186">
        <f t="shared" si="27"/>
        <v>0</v>
      </c>
      <c r="Z106" s="186">
        <f t="shared" si="27"/>
        <v>0</v>
      </c>
      <c r="AA106" s="189">
        <f t="shared" si="27"/>
        <v>0</v>
      </c>
    </row>
    <row r="107" spans="1:27">
      <c r="A107" s="6"/>
      <c r="B107" s="139"/>
      <c r="C107" s="7"/>
      <c r="D107" s="7"/>
      <c r="E107" s="7"/>
      <c r="F107" s="7"/>
      <c r="G107" s="7"/>
      <c r="H107" s="7"/>
      <c r="I107" s="7"/>
      <c r="J107" s="7"/>
      <c r="K107" s="7"/>
      <c r="L107" s="7"/>
      <c r="M107" s="7"/>
      <c r="N107" s="7"/>
      <c r="O107" s="7"/>
      <c r="P107" s="7"/>
      <c r="Q107" s="104"/>
      <c r="R107" s="174"/>
      <c r="S107" s="7"/>
      <c r="T107" s="7"/>
      <c r="U107" s="7"/>
      <c r="V107" s="225"/>
      <c r="W107" s="16"/>
      <c r="X107" s="7"/>
      <c r="Y107" s="7"/>
      <c r="Z107" s="7"/>
      <c r="AA107" s="175"/>
    </row>
    <row r="108" spans="1:27">
      <c r="A108" s="6" t="s">
        <v>21</v>
      </c>
      <c r="B108" s="139">
        <v>0</v>
      </c>
      <c r="C108" s="17">
        <v>0.01</v>
      </c>
      <c r="D108" s="17">
        <f>C108+(0.01/($B$97-1))</f>
        <v>1.0416666666666666E-2</v>
      </c>
      <c r="E108" s="17">
        <f>D108+(0.01/($B$97-1))</f>
        <v>1.0833333333333332E-2</v>
      </c>
      <c r="F108" s="17">
        <f>E108+(0.01/($B$97-1))</f>
        <v>1.1249999999999998E-2</v>
      </c>
      <c r="G108" s="17">
        <f t="shared" ref="G108:AA108" si="28">F108+(0.01/($B$97-1))</f>
        <v>1.1666666666666664E-2</v>
      </c>
      <c r="H108" s="17">
        <f t="shared" si="28"/>
        <v>1.208333333333333E-2</v>
      </c>
      <c r="I108" s="17">
        <f t="shared" si="28"/>
        <v>1.2499999999999995E-2</v>
      </c>
      <c r="J108" s="17">
        <f t="shared" si="28"/>
        <v>1.2916666666666661E-2</v>
      </c>
      <c r="K108" s="17">
        <f t="shared" si="28"/>
        <v>1.3333333333333327E-2</v>
      </c>
      <c r="L108" s="17">
        <f t="shared" si="28"/>
        <v>1.3749999999999993E-2</v>
      </c>
      <c r="M108" s="17">
        <f t="shared" si="28"/>
        <v>1.4166666666666659E-2</v>
      </c>
      <c r="N108" s="17">
        <f>M108+(0.01/($B$97-1))</f>
        <v>1.4583333333333325E-2</v>
      </c>
      <c r="O108" s="17">
        <f t="shared" si="28"/>
        <v>1.4999999999999991E-2</v>
      </c>
      <c r="P108" s="17">
        <f t="shared" si="28"/>
        <v>1.5416666666666657E-2</v>
      </c>
      <c r="Q108" s="190">
        <f t="shared" si="28"/>
        <v>1.5833333333333324E-2</v>
      </c>
      <c r="R108" s="191">
        <f t="shared" si="28"/>
        <v>1.624999999999999E-2</v>
      </c>
      <c r="S108" s="17">
        <f t="shared" si="28"/>
        <v>1.6666666666666656E-2</v>
      </c>
      <c r="T108" s="17">
        <f t="shared" si="28"/>
        <v>1.7083333333333322E-2</v>
      </c>
      <c r="U108" s="17">
        <f t="shared" si="28"/>
        <v>1.7499999999999988E-2</v>
      </c>
      <c r="V108" s="230">
        <f t="shared" si="28"/>
        <v>1.7916666666666654E-2</v>
      </c>
      <c r="W108" s="231">
        <f t="shared" si="28"/>
        <v>1.833333333333332E-2</v>
      </c>
      <c r="X108" s="17">
        <f t="shared" si="28"/>
        <v>1.8749999999999985E-2</v>
      </c>
      <c r="Y108" s="17">
        <f t="shared" si="28"/>
        <v>1.9166666666666651E-2</v>
      </c>
      <c r="Z108" s="17">
        <f t="shared" si="28"/>
        <v>1.9583333333333317E-2</v>
      </c>
      <c r="AA108" s="193">
        <f t="shared" si="28"/>
        <v>1.9999999999999983E-2</v>
      </c>
    </row>
    <row r="109" spans="1:27" ht="16">
      <c r="A109" s="180" t="s">
        <v>23</v>
      </c>
      <c r="B109" s="194" t="e">
        <f>B108*$B$96</f>
        <v>#VALUE!</v>
      </c>
      <c r="C109" s="194" t="e">
        <f>C108*$B$96</f>
        <v>#VALUE!</v>
      </c>
      <c r="D109" s="194" t="e">
        <f>D108*$B$96</f>
        <v>#VALUE!</v>
      </c>
      <c r="E109" s="194" t="e">
        <f>E108*$B$96</f>
        <v>#VALUE!</v>
      </c>
      <c r="F109" s="194" t="e">
        <f t="shared" ref="F109:X109" si="29">F108*$B$96</f>
        <v>#VALUE!</v>
      </c>
      <c r="G109" s="194" t="e">
        <f t="shared" si="29"/>
        <v>#VALUE!</v>
      </c>
      <c r="H109" s="194" t="e">
        <f t="shared" si="29"/>
        <v>#VALUE!</v>
      </c>
      <c r="I109" s="194" t="e">
        <f t="shared" si="29"/>
        <v>#VALUE!</v>
      </c>
      <c r="J109" s="194" t="e">
        <f t="shared" si="29"/>
        <v>#VALUE!</v>
      </c>
      <c r="K109" s="194" t="e">
        <f t="shared" si="29"/>
        <v>#VALUE!</v>
      </c>
      <c r="L109" s="194" t="e">
        <f t="shared" si="29"/>
        <v>#VALUE!</v>
      </c>
      <c r="M109" s="194" t="e">
        <f t="shared" si="29"/>
        <v>#VALUE!</v>
      </c>
      <c r="N109" s="194" t="e">
        <f t="shared" si="29"/>
        <v>#VALUE!</v>
      </c>
      <c r="O109" s="194" t="e">
        <f t="shared" si="29"/>
        <v>#VALUE!</v>
      </c>
      <c r="P109" s="194" t="e">
        <f t="shared" si="29"/>
        <v>#VALUE!</v>
      </c>
      <c r="Q109" s="195" t="e">
        <f t="shared" si="29"/>
        <v>#VALUE!</v>
      </c>
      <c r="R109" s="196" t="e">
        <f t="shared" si="29"/>
        <v>#VALUE!</v>
      </c>
      <c r="S109" s="194" t="e">
        <f t="shared" si="29"/>
        <v>#VALUE!</v>
      </c>
      <c r="T109" s="194" t="e">
        <f t="shared" si="29"/>
        <v>#VALUE!</v>
      </c>
      <c r="U109" s="194" t="e">
        <f t="shared" si="29"/>
        <v>#VALUE!</v>
      </c>
      <c r="V109" s="232" t="e">
        <f t="shared" si="29"/>
        <v>#VALUE!</v>
      </c>
      <c r="W109" s="233" t="e">
        <f t="shared" si="29"/>
        <v>#VALUE!</v>
      </c>
      <c r="X109" s="194" t="e">
        <f t="shared" si="29"/>
        <v>#VALUE!</v>
      </c>
      <c r="Y109" s="194" t="e">
        <f>Y108*$B$96</f>
        <v>#VALUE!</v>
      </c>
      <c r="Z109" s="194" t="e">
        <f>Z108*$B$96</f>
        <v>#VALUE!</v>
      </c>
      <c r="AA109" s="195" t="e">
        <f>AA108*$B$96</f>
        <v>#VALUE!</v>
      </c>
    </row>
    <row r="110" spans="1:27" ht="16" thickBot="1">
      <c r="A110" s="197" t="s">
        <v>88</v>
      </c>
      <c r="B110" s="279" t="e">
        <f t="shared" ref="B110:G110" si="30">B109*$B$4</f>
        <v>#VALUE!</v>
      </c>
      <c r="C110" s="277" t="e">
        <f t="shared" si="30"/>
        <v>#VALUE!</v>
      </c>
      <c r="D110" s="277" t="e">
        <f t="shared" si="30"/>
        <v>#VALUE!</v>
      </c>
      <c r="E110" s="277" t="e">
        <f t="shared" si="30"/>
        <v>#VALUE!</v>
      </c>
      <c r="F110" s="277" t="e">
        <f t="shared" si="30"/>
        <v>#VALUE!</v>
      </c>
      <c r="G110" s="277" t="e">
        <f t="shared" si="30"/>
        <v>#VALUE!</v>
      </c>
      <c r="H110" s="277" t="e">
        <f t="shared" ref="H110:V110" si="31">H109*$B$4</f>
        <v>#VALUE!</v>
      </c>
      <c r="I110" s="277" t="e">
        <f t="shared" si="31"/>
        <v>#VALUE!</v>
      </c>
      <c r="J110" s="277" t="e">
        <f t="shared" si="31"/>
        <v>#VALUE!</v>
      </c>
      <c r="K110" s="277" t="e">
        <f t="shared" si="31"/>
        <v>#VALUE!</v>
      </c>
      <c r="L110" s="277" t="e">
        <f t="shared" si="31"/>
        <v>#VALUE!</v>
      </c>
      <c r="M110" s="277" t="e">
        <f t="shared" si="31"/>
        <v>#VALUE!</v>
      </c>
      <c r="N110" s="277" t="e">
        <f t="shared" si="31"/>
        <v>#VALUE!</v>
      </c>
      <c r="O110" s="277" t="e">
        <f t="shared" si="31"/>
        <v>#VALUE!</v>
      </c>
      <c r="P110" s="277" t="e">
        <f t="shared" si="31"/>
        <v>#VALUE!</v>
      </c>
      <c r="Q110" s="278" t="e">
        <f t="shared" si="31"/>
        <v>#VALUE!</v>
      </c>
      <c r="R110" s="279" t="e">
        <f t="shared" si="31"/>
        <v>#VALUE!</v>
      </c>
      <c r="S110" s="277" t="e">
        <f t="shared" si="31"/>
        <v>#VALUE!</v>
      </c>
      <c r="T110" s="277" t="e">
        <f t="shared" si="31"/>
        <v>#VALUE!</v>
      </c>
      <c r="U110" s="277" t="e">
        <f t="shared" si="31"/>
        <v>#VALUE!</v>
      </c>
      <c r="V110" s="289" t="e">
        <f t="shared" si="31"/>
        <v>#VALUE!</v>
      </c>
      <c r="W110" s="290" t="e">
        <f>W109*$B$4</f>
        <v>#VALUE!</v>
      </c>
      <c r="X110" s="277" t="e">
        <f>X109*$B$4</f>
        <v>#VALUE!</v>
      </c>
      <c r="Y110" s="277" t="e">
        <f>Y109*$B$4</f>
        <v>#VALUE!</v>
      </c>
      <c r="Z110" s="277" t="e">
        <f>Z109*$B$4</f>
        <v>#VALUE!</v>
      </c>
      <c r="AA110" s="281" t="e">
        <f>AA109*$B$4</f>
        <v>#VALUE!</v>
      </c>
    </row>
    <row r="111" spans="1:27">
      <c r="A111" s="199"/>
      <c r="B111" s="174"/>
      <c r="C111" s="7"/>
      <c r="D111" s="7"/>
      <c r="E111" s="7"/>
      <c r="F111" s="7"/>
      <c r="G111" s="7"/>
      <c r="H111" s="7"/>
      <c r="I111" s="7"/>
      <c r="J111" s="7"/>
      <c r="K111" s="7"/>
      <c r="L111" s="7"/>
      <c r="M111" s="7"/>
      <c r="N111" s="7"/>
      <c r="O111" s="7"/>
      <c r="P111" s="7"/>
      <c r="Q111" s="104"/>
      <c r="R111" s="174"/>
      <c r="S111" s="7"/>
      <c r="T111" s="7"/>
      <c r="U111" s="7"/>
      <c r="V111" s="225"/>
      <c r="W111" s="16"/>
      <c r="X111" s="7"/>
      <c r="Y111" s="7"/>
      <c r="Z111" s="7"/>
      <c r="AA111" s="175"/>
    </row>
    <row r="112" spans="1:27">
      <c r="A112" s="6" t="s">
        <v>25</v>
      </c>
      <c r="B112" s="139">
        <v>0</v>
      </c>
      <c r="C112" s="17" t="str">
        <f>B90</f>
        <v/>
      </c>
      <c r="D112" s="17" t="e">
        <f t="shared" ref="D112:AA112" si="32">C112+C113</f>
        <v>#VALUE!</v>
      </c>
      <c r="E112" s="17" t="e">
        <f t="shared" si="32"/>
        <v>#VALUE!</v>
      </c>
      <c r="F112" s="17" t="e">
        <f t="shared" si="32"/>
        <v>#VALUE!</v>
      </c>
      <c r="G112" s="17" t="e">
        <f t="shared" si="32"/>
        <v>#VALUE!</v>
      </c>
      <c r="H112" s="17" t="e">
        <f t="shared" si="32"/>
        <v>#VALUE!</v>
      </c>
      <c r="I112" s="17" t="e">
        <f t="shared" si="32"/>
        <v>#VALUE!</v>
      </c>
      <c r="J112" s="17" t="e">
        <f t="shared" si="32"/>
        <v>#VALUE!</v>
      </c>
      <c r="K112" s="17" t="e">
        <f t="shared" si="32"/>
        <v>#VALUE!</v>
      </c>
      <c r="L112" s="17" t="e">
        <f t="shared" si="32"/>
        <v>#VALUE!</v>
      </c>
      <c r="M112" s="17" t="e">
        <f t="shared" si="32"/>
        <v>#VALUE!</v>
      </c>
      <c r="N112" s="17" t="e">
        <f>M112+M113</f>
        <v>#VALUE!</v>
      </c>
      <c r="O112" s="17" t="e">
        <f t="shared" si="32"/>
        <v>#VALUE!</v>
      </c>
      <c r="P112" s="17" t="e">
        <f t="shared" si="32"/>
        <v>#VALUE!</v>
      </c>
      <c r="Q112" s="190" t="e">
        <f t="shared" si="32"/>
        <v>#VALUE!</v>
      </c>
      <c r="R112" s="191" t="e">
        <f t="shared" si="32"/>
        <v>#VALUE!</v>
      </c>
      <c r="S112" s="17" t="e">
        <f t="shared" si="32"/>
        <v>#VALUE!</v>
      </c>
      <c r="T112" s="17" t="e">
        <f t="shared" si="32"/>
        <v>#VALUE!</v>
      </c>
      <c r="U112" s="17" t="e">
        <f t="shared" si="32"/>
        <v>#VALUE!</v>
      </c>
      <c r="V112" s="230" t="e">
        <f t="shared" si="32"/>
        <v>#VALUE!</v>
      </c>
      <c r="W112" s="231" t="e">
        <f t="shared" si="32"/>
        <v>#VALUE!</v>
      </c>
      <c r="X112" s="17" t="e">
        <f t="shared" si="32"/>
        <v>#VALUE!</v>
      </c>
      <c r="Y112" s="17" t="e">
        <f t="shared" si="32"/>
        <v>#VALUE!</v>
      </c>
      <c r="Z112" s="17" t="e">
        <f t="shared" si="32"/>
        <v>#VALUE!</v>
      </c>
      <c r="AA112" s="193" t="e">
        <f t="shared" si="32"/>
        <v>#VALUE!</v>
      </c>
    </row>
    <row r="113" spans="1:27">
      <c r="A113" s="6" t="s">
        <v>248</v>
      </c>
      <c r="B113" s="139"/>
      <c r="C113" s="17" t="e">
        <f>C112*$B$91</f>
        <v>#VALUE!</v>
      </c>
      <c r="D113" s="17" t="e">
        <f>D112*$B$91</f>
        <v>#VALUE!</v>
      </c>
      <c r="E113" s="17" t="e">
        <f t="shared" ref="E113:AA113" si="33">E112*$B$91</f>
        <v>#VALUE!</v>
      </c>
      <c r="F113" s="17" t="e">
        <f t="shared" si="33"/>
        <v>#VALUE!</v>
      </c>
      <c r="G113" s="17" t="e">
        <f t="shared" si="33"/>
        <v>#VALUE!</v>
      </c>
      <c r="H113" s="17" t="e">
        <f t="shared" si="33"/>
        <v>#VALUE!</v>
      </c>
      <c r="I113" s="17" t="e">
        <f t="shared" si="33"/>
        <v>#VALUE!</v>
      </c>
      <c r="J113" s="17" t="e">
        <f>J112*$B$91</f>
        <v>#VALUE!</v>
      </c>
      <c r="K113" s="17" t="e">
        <f t="shared" si="33"/>
        <v>#VALUE!</v>
      </c>
      <c r="L113" s="17" t="e">
        <f t="shared" si="33"/>
        <v>#VALUE!</v>
      </c>
      <c r="M113" s="17" t="e">
        <f t="shared" si="33"/>
        <v>#VALUE!</v>
      </c>
      <c r="N113" s="17" t="e">
        <f t="shared" si="33"/>
        <v>#VALUE!</v>
      </c>
      <c r="O113" s="17" t="e">
        <f t="shared" si="33"/>
        <v>#VALUE!</v>
      </c>
      <c r="P113" s="17" t="e">
        <f t="shared" si="33"/>
        <v>#VALUE!</v>
      </c>
      <c r="Q113" s="190" t="e">
        <f t="shared" si="33"/>
        <v>#VALUE!</v>
      </c>
      <c r="R113" s="191" t="e">
        <f t="shared" si="33"/>
        <v>#VALUE!</v>
      </c>
      <c r="S113" s="17" t="e">
        <f t="shared" si="33"/>
        <v>#VALUE!</v>
      </c>
      <c r="T113" s="17" t="e">
        <f t="shared" si="33"/>
        <v>#VALUE!</v>
      </c>
      <c r="U113" s="17" t="e">
        <f t="shared" si="33"/>
        <v>#VALUE!</v>
      </c>
      <c r="V113" s="230" t="e">
        <f t="shared" si="33"/>
        <v>#VALUE!</v>
      </c>
      <c r="W113" s="231" t="e">
        <f t="shared" si="33"/>
        <v>#VALUE!</v>
      </c>
      <c r="X113" s="17" t="e">
        <f t="shared" si="33"/>
        <v>#VALUE!</v>
      </c>
      <c r="Y113" s="17" t="e">
        <f t="shared" si="33"/>
        <v>#VALUE!</v>
      </c>
      <c r="Z113" s="17" t="e">
        <f t="shared" si="33"/>
        <v>#VALUE!</v>
      </c>
      <c r="AA113" s="193" t="e">
        <f t="shared" si="33"/>
        <v>#VALUE!</v>
      </c>
    </row>
    <row r="114" spans="1:27" ht="16">
      <c r="A114" s="180" t="s">
        <v>24</v>
      </c>
      <c r="B114" s="194">
        <f>B112*$B$92*(1/$B$95)</f>
        <v>0</v>
      </c>
      <c r="C114" s="194" t="e">
        <f>C112*$B$92*(1/$B$95)</f>
        <v>#VALUE!</v>
      </c>
      <c r="D114" s="200" t="e">
        <f>D112*$B$92*(1/$B$95)</f>
        <v>#VALUE!</v>
      </c>
      <c r="E114" s="194" t="e">
        <f t="shared" ref="E114:AA114" si="34">E112*$B$92*(1/$B$95)</f>
        <v>#VALUE!</v>
      </c>
      <c r="F114" s="194" t="e">
        <f>F112*$B$92*(1/$B$95)</f>
        <v>#VALUE!</v>
      </c>
      <c r="G114" s="194" t="e">
        <f t="shared" si="34"/>
        <v>#VALUE!</v>
      </c>
      <c r="H114" s="194" t="e">
        <f>H112*$B$92*(1/$B$95)</f>
        <v>#VALUE!</v>
      </c>
      <c r="I114" s="194" t="e">
        <f t="shared" si="34"/>
        <v>#VALUE!</v>
      </c>
      <c r="J114" s="194" t="e">
        <f t="shared" si="34"/>
        <v>#VALUE!</v>
      </c>
      <c r="K114" s="194" t="e">
        <f t="shared" si="34"/>
        <v>#VALUE!</v>
      </c>
      <c r="L114" s="194" t="e">
        <f t="shared" si="34"/>
        <v>#VALUE!</v>
      </c>
      <c r="M114" s="194" t="e">
        <f t="shared" si="34"/>
        <v>#VALUE!</v>
      </c>
      <c r="N114" s="194" t="e">
        <f t="shared" si="34"/>
        <v>#VALUE!</v>
      </c>
      <c r="O114" s="194" t="e">
        <f t="shared" si="34"/>
        <v>#VALUE!</v>
      </c>
      <c r="P114" s="194" t="e">
        <f t="shared" si="34"/>
        <v>#VALUE!</v>
      </c>
      <c r="Q114" s="195" t="e">
        <f t="shared" si="34"/>
        <v>#VALUE!</v>
      </c>
      <c r="R114" s="196" t="e">
        <f t="shared" si="34"/>
        <v>#VALUE!</v>
      </c>
      <c r="S114" s="194" t="e">
        <f t="shared" si="34"/>
        <v>#VALUE!</v>
      </c>
      <c r="T114" s="194" t="e">
        <f t="shared" si="34"/>
        <v>#VALUE!</v>
      </c>
      <c r="U114" s="194" t="e">
        <f t="shared" si="34"/>
        <v>#VALUE!</v>
      </c>
      <c r="V114" s="232" t="e">
        <f t="shared" si="34"/>
        <v>#VALUE!</v>
      </c>
      <c r="W114" s="233" t="e">
        <f t="shared" si="34"/>
        <v>#VALUE!</v>
      </c>
      <c r="X114" s="194" t="e">
        <f t="shared" si="34"/>
        <v>#VALUE!</v>
      </c>
      <c r="Y114" s="194" t="e">
        <f t="shared" si="34"/>
        <v>#VALUE!</v>
      </c>
      <c r="Z114" s="194" t="e">
        <f t="shared" si="34"/>
        <v>#VALUE!</v>
      </c>
      <c r="AA114" s="195" t="e">
        <f t="shared" si="34"/>
        <v>#VALUE!</v>
      </c>
    </row>
    <row r="115" spans="1:27" ht="16" thickBot="1">
      <c r="A115" s="197" t="s">
        <v>89</v>
      </c>
      <c r="B115" s="288">
        <f t="shared" ref="B115:K115" si="35">B114*$B$4</f>
        <v>0</v>
      </c>
      <c r="C115" s="277" t="e">
        <f t="shared" si="35"/>
        <v>#VALUE!</v>
      </c>
      <c r="D115" s="277" t="e">
        <f t="shared" si="35"/>
        <v>#VALUE!</v>
      </c>
      <c r="E115" s="277" t="e">
        <f t="shared" si="35"/>
        <v>#VALUE!</v>
      </c>
      <c r="F115" s="277" t="e">
        <f t="shared" si="35"/>
        <v>#VALUE!</v>
      </c>
      <c r="G115" s="277" t="e">
        <f t="shared" si="35"/>
        <v>#VALUE!</v>
      </c>
      <c r="H115" s="277" t="e">
        <f t="shared" si="35"/>
        <v>#VALUE!</v>
      </c>
      <c r="I115" s="277" t="e">
        <f t="shared" si="35"/>
        <v>#VALUE!</v>
      </c>
      <c r="J115" s="277" t="e">
        <f t="shared" si="35"/>
        <v>#VALUE!</v>
      </c>
      <c r="K115" s="277" t="e">
        <f t="shared" si="35"/>
        <v>#VALUE!</v>
      </c>
      <c r="L115" s="277" t="e">
        <f t="shared" ref="L115:V115" si="36">L114*$B$4</f>
        <v>#VALUE!</v>
      </c>
      <c r="M115" s="277" t="e">
        <f t="shared" si="36"/>
        <v>#VALUE!</v>
      </c>
      <c r="N115" s="277" t="e">
        <f t="shared" si="36"/>
        <v>#VALUE!</v>
      </c>
      <c r="O115" s="277" t="e">
        <f t="shared" si="36"/>
        <v>#VALUE!</v>
      </c>
      <c r="P115" s="277" t="e">
        <f t="shared" si="36"/>
        <v>#VALUE!</v>
      </c>
      <c r="Q115" s="278" t="e">
        <f t="shared" si="36"/>
        <v>#VALUE!</v>
      </c>
      <c r="R115" s="279" t="e">
        <f t="shared" si="36"/>
        <v>#VALUE!</v>
      </c>
      <c r="S115" s="277" t="e">
        <f t="shared" si="36"/>
        <v>#VALUE!</v>
      </c>
      <c r="T115" s="277" t="e">
        <f t="shared" si="36"/>
        <v>#VALUE!</v>
      </c>
      <c r="U115" s="277" t="e">
        <f t="shared" si="36"/>
        <v>#VALUE!</v>
      </c>
      <c r="V115" s="289" t="e">
        <f t="shared" si="36"/>
        <v>#VALUE!</v>
      </c>
      <c r="W115" s="290" t="e">
        <f>W114*$B$4</f>
        <v>#VALUE!</v>
      </c>
      <c r="X115" s="277" t="e">
        <f>X114*$B$4</f>
        <v>#VALUE!</v>
      </c>
      <c r="Y115" s="277" t="e">
        <f>Y114*$B$4</f>
        <v>#VALUE!</v>
      </c>
      <c r="Z115" s="277" t="e">
        <f>Z114*$B$4</f>
        <v>#VALUE!</v>
      </c>
      <c r="AA115" s="281" t="e">
        <f>AA114*$B$4</f>
        <v>#VALUE!</v>
      </c>
    </row>
    <row r="116" spans="1:27">
      <c r="A116" s="6"/>
      <c r="B116" s="139"/>
      <c r="C116" s="7"/>
      <c r="D116" s="7"/>
      <c r="E116" s="7"/>
      <c r="F116" s="7"/>
      <c r="G116" s="7"/>
      <c r="H116" s="7"/>
      <c r="I116" s="7"/>
      <c r="J116" s="7"/>
      <c r="K116" s="7"/>
      <c r="L116" s="7"/>
      <c r="M116" s="7"/>
      <c r="N116" s="7"/>
      <c r="O116" s="7"/>
      <c r="P116" s="7"/>
      <c r="Q116" s="104"/>
      <c r="R116" s="174"/>
      <c r="S116" s="7"/>
      <c r="T116" s="7"/>
      <c r="U116" s="7"/>
      <c r="V116" s="225"/>
      <c r="W116" s="16"/>
      <c r="X116" s="7"/>
      <c r="Y116" s="7"/>
      <c r="Z116" s="7"/>
      <c r="AA116" s="175"/>
    </row>
    <row r="117" spans="1:27" ht="16">
      <c r="A117" s="6" t="s">
        <v>34</v>
      </c>
      <c r="B117" s="291" t="e">
        <f>B105+B109+B114</f>
        <v>#VALUE!</v>
      </c>
      <c r="C117" s="118" t="e">
        <f>C105+C109+C114</f>
        <v>#VALUE!</v>
      </c>
      <c r="D117" s="118" t="e">
        <f>D105+D109+D114</f>
        <v>#VALUE!</v>
      </c>
      <c r="E117" s="118" t="e">
        <f>E105+E109+E114</f>
        <v>#VALUE!</v>
      </c>
      <c r="F117" s="118" t="e">
        <f>F105+F109+F114</f>
        <v>#VALUE!</v>
      </c>
      <c r="G117" s="118" t="e">
        <f t="shared" ref="G117:V117" si="37">G105+G109+G114</f>
        <v>#VALUE!</v>
      </c>
      <c r="H117" s="118" t="e">
        <f t="shared" si="37"/>
        <v>#VALUE!</v>
      </c>
      <c r="I117" s="118" t="e">
        <f t="shared" si="37"/>
        <v>#VALUE!</v>
      </c>
      <c r="J117" s="118" t="e">
        <f t="shared" si="37"/>
        <v>#VALUE!</v>
      </c>
      <c r="K117" s="118" t="e">
        <f t="shared" si="37"/>
        <v>#VALUE!</v>
      </c>
      <c r="L117" s="118" t="e">
        <f t="shared" si="37"/>
        <v>#VALUE!</v>
      </c>
      <c r="M117" s="118" t="e">
        <f t="shared" si="37"/>
        <v>#VALUE!</v>
      </c>
      <c r="N117" s="118" t="e">
        <f t="shared" si="37"/>
        <v>#VALUE!</v>
      </c>
      <c r="O117" s="118" t="e">
        <f t="shared" si="37"/>
        <v>#VALUE!</v>
      </c>
      <c r="P117" s="118" t="e">
        <f t="shared" si="37"/>
        <v>#VALUE!</v>
      </c>
      <c r="Q117" s="202" t="e">
        <f t="shared" si="37"/>
        <v>#VALUE!</v>
      </c>
      <c r="R117" s="136" t="e">
        <f t="shared" si="37"/>
        <v>#VALUE!</v>
      </c>
      <c r="S117" s="118" t="e">
        <f t="shared" si="37"/>
        <v>#VALUE!</v>
      </c>
      <c r="T117" s="118" t="e">
        <f t="shared" si="37"/>
        <v>#VALUE!</v>
      </c>
      <c r="U117" s="118" t="e">
        <f t="shared" si="37"/>
        <v>#VALUE!</v>
      </c>
      <c r="V117" s="234" t="e">
        <f t="shared" si="37"/>
        <v>#VALUE!</v>
      </c>
      <c r="W117" s="235" t="e">
        <f>W105+W109+W114</f>
        <v>#VALUE!</v>
      </c>
      <c r="X117" s="118" t="e">
        <f>X105+X109+X114</f>
        <v>#VALUE!</v>
      </c>
      <c r="Y117" s="118" t="e">
        <f>Y105+Y109+Y114</f>
        <v>#VALUE!</v>
      </c>
      <c r="Z117" s="118" t="e">
        <f>Z105+Z109+Z114</f>
        <v>#VALUE!</v>
      </c>
      <c r="AA117" s="204" t="e">
        <f>AA105+AA109+AA114</f>
        <v>#VALUE!</v>
      </c>
    </row>
    <row r="118" spans="1:27" ht="16" thickBot="1">
      <c r="A118" s="135" t="s">
        <v>35</v>
      </c>
      <c r="B118" s="243" t="e">
        <f>($B$4*B117)</f>
        <v>#VALUE!</v>
      </c>
      <c r="C118" s="243" t="e">
        <f>$B$4*C117</f>
        <v>#VALUE!</v>
      </c>
      <c r="D118" s="243" t="e">
        <f t="shared" ref="D118:V118" si="38">$B$4*D117</f>
        <v>#VALUE!</v>
      </c>
      <c r="E118" s="243" t="e">
        <f>$B$4*E117</f>
        <v>#VALUE!</v>
      </c>
      <c r="F118" s="243" t="e">
        <f t="shared" si="38"/>
        <v>#VALUE!</v>
      </c>
      <c r="G118" s="243" t="e">
        <f t="shared" si="38"/>
        <v>#VALUE!</v>
      </c>
      <c r="H118" s="243" t="e">
        <f t="shared" si="38"/>
        <v>#VALUE!</v>
      </c>
      <c r="I118" s="243" t="e">
        <f t="shared" si="38"/>
        <v>#VALUE!</v>
      </c>
      <c r="J118" s="243" t="e">
        <f t="shared" si="38"/>
        <v>#VALUE!</v>
      </c>
      <c r="K118" s="243" t="e">
        <f t="shared" si="38"/>
        <v>#VALUE!</v>
      </c>
      <c r="L118" s="243" t="e">
        <f t="shared" si="38"/>
        <v>#VALUE!</v>
      </c>
      <c r="M118" s="243" t="e">
        <f t="shared" si="38"/>
        <v>#VALUE!</v>
      </c>
      <c r="N118" s="243" t="e">
        <f t="shared" si="38"/>
        <v>#VALUE!</v>
      </c>
      <c r="O118" s="243" t="e">
        <f t="shared" si="38"/>
        <v>#VALUE!</v>
      </c>
      <c r="P118" s="243" t="e">
        <f t="shared" si="38"/>
        <v>#VALUE!</v>
      </c>
      <c r="Q118" s="250" t="e">
        <f t="shared" si="38"/>
        <v>#VALUE!</v>
      </c>
      <c r="R118" s="251" t="e">
        <f t="shared" si="38"/>
        <v>#VALUE!</v>
      </c>
      <c r="S118" s="243" t="e">
        <f t="shared" si="38"/>
        <v>#VALUE!</v>
      </c>
      <c r="T118" s="243" t="e">
        <f t="shared" si="38"/>
        <v>#VALUE!</v>
      </c>
      <c r="U118" s="243" t="e">
        <f t="shared" si="38"/>
        <v>#VALUE!</v>
      </c>
      <c r="V118" s="252" t="e">
        <f t="shared" si="38"/>
        <v>#VALUE!</v>
      </c>
      <c r="W118" s="253" t="e">
        <f>$B$4*W117</f>
        <v>#VALUE!</v>
      </c>
      <c r="X118" s="243" t="e">
        <f>$B$4*X117</f>
        <v>#VALUE!</v>
      </c>
      <c r="Y118" s="243" t="e">
        <f>$B$4*Y117</f>
        <v>#VALUE!</v>
      </c>
      <c r="Z118" s="243" t="e">
        <f>$B$4*Z117</f>
        <v>#VALUE!</v>
      </c>
      <c r="AA118" s="32" t="e">
        <f>$B$4*AA117</f>
        <v>#VALUE!</v>
      </c>
    </row>
    <row r="119" spans="1:27" ht="17" thickTop="1" thickBot="1">
      <c r="A119" s="236"/>
      <c r="B119" s="28" t="s">
        <v>98</v>
      </c>
      <c r="C119" s="29" t="s">
        <v>91</v>
      </c>
      <c r="D119" s="30" t="s">
        <v>92</v>
      </c>
      <c r="E119" s="205"/>
      <c r="F119" s="205"/>
      <c r="G119" s="205"/>
      <c r="H119" s="205"/>
      <c r="I119" s="205"/>
      <c r="J119" s="205"/>
      <c r="K119" s="205"/>
      <c r="L119" s="205"/>
      <c r="M119" s="205"/>
      <c r="N119" s="205"/>
      <c r="O119" s="205"/>
      <c r="P119" s="205"/>
      <c r="Q119" s="205"/>
      <c r="R119" s="205"/>
      <c r="S119" s="205"/>
      <c r="T119" s="205"/>
      <c r="U119" s="205"/>
      <c r="V119" s="205"/>
      <c r="W119" s="4"/>
      <c r="X119" s="4"/>
      <c r="Y119" s="4"/>
      <c r="Z119" s="4"/>
      <c r="AA119" s="4"/>
    </row>
    <row r="120" spans="1:27" ht="16">
      <c r="A120" s="209" t="s">
        <v>36</v>
      </c>
      <c r="B120" s="206" t="e">
        <f>NPV($B$5,C117,D117:Q117)+B117-(Q104/((1+B98)^15))</f>
        <v>#VALUE!</v>
      </c>
      <c r="C120" s="207" t="e">
        <f>NPV($B$5,C117,D117:V117)+B117-(V104/((1+B98)^20))</f>
        <v>#VALUE!</v>
      </c>
      <c r="D120" s="31" t="e">
        <f>NPV($B$5,C117,D117:AA117)+B117-(AA104/((1+B98)^25))</f>
        <v>#VALUE!</v>
      </c>
      <c r="E120" s="208"/>
      <c r="F120" s="5"/>
      <c r="G120" s="5"/>
      <c r="H120" s="5"/>
      <c r="I120" s="5"/>
      <c r="J120" s="5"/>
      <c r="K120" s="5"/>
      <c r="L120" s="5"/>
      <c r="M120" s="5"/>
      <c r="N120" s="5"/>
      <c r="O120" s="5"/>
      <c r="P120" s="5"/>
      <c r="Q120" s="5"/>
      <c r="R120" s="5"/>
      <c r="S120" s="5"/>
      <c r="T120" s="5"/>
      <c r="U120" s="5"/>
      <c r="V120" s="5"/>
      <c r="W120" s="5"/>
      <c r="X120" s="4"/>
      <c r="Y120" s="4"/>
      <c r="Z120" s="4"/>
      <c r="AA120" s="4"/>
    </row>
    <row r="121" spans="1:27">
      <c r="A121" s="209" t="s">
        <v>37</v>
      </c>
      <c r="B121" s="210" t="e">
        <f>(NPV(B98,C118,D118:Q118))+B118-(Q104*$B$4/(1+B98)^15)</f>
        <v>#VALUE!</v>
      </c>
      <c r="C121" s="211" t="e">
        <f>(NPV(B98,C118,D118:V118))+B118-(V104*$B$4/(1+B98)^20)</f>
        <v>#VALUE!</v>
      </c>
      <c r="D121" s="212" t="e">
        <f>(NPV(B98,C118,D118:AA118))+B118-(AA104*$B$4/(1+B98)^25)</f>
        <v>#VALUE!</v>
      </c>
      <c r="E121" s="213"/>
      <c r="F121" s="213"/>
      <c r="G121" s="213"/>
      <c r="H121" s="214"/>
      <c r="I121" s="23"/>
      <c r="J121" s="23"/>
      <c r="K121" s="23"/>
      <c r="L121" s="23"/>
      <c r="M121" s="23"/>
      <c r="N121" s="23"/>
      <c r="O121" s="23"/>
      <c r="P121" s="23"/>
      <c r="Q121" s="23"/>
      <c r="R121" s="23"/>
      <c r="S121" s="23"/>
      <c r="T121" s="23"/>
      <c r="U121" s="23"/>
      <c r="V121" s="23"/>
      <c r="W121" s="23"/>
      <c r="X121" s="3"/>
      <c r="Y121" s="4"/>
      <c r="Z121" s="4"/>
      <c r="AA121" s="4"/>
    </row>
    <row r="122" spans="1:27">
      <c r="A122" s="209" t="s">
        <v>85</v>
      </c>
      <c r="B122" s="210" t="e">
        <f>NPV(B98,C106,D106:Q106)+B106-(Q104*$B$4/(1+B98)^15)</f>
        <v>#VALUE!</v>
      </c>
      <c r="C122" s="211" t="e">
        <f>NPV(B98,C106,D106:V106)+B106-(V104*$B$4/(1+B98)^20)</f>
        <v>#VALUE!</v>
      </c>
      <c r="D122" s="212" t="e">
        <f>NPV(B98,C106,D106:AA106)+B106-(AA104*$B$4/(1+B98)^25)</f>
        <v>#VALUE!</v>
      </c>
      <c r="E122" s="213"/>
      <c r="F122" s="213"/>
      <c r="G122" s="213"/>
      <c r="H122" s="214"/>
      <c r="I122" s="23"/>
      <c r="J122" s="23"/>
      <c r="K122" s="23"/>
      <c r="L122" s="23"/>
      <c r="M122" s="23"/>
      <c r="N122" s="23"/>
      <c r="O122" s="23"/>
      <c r="P122" s="23"/>
      <c r="Q122" s="23"/>
      <c r="R122" s="23"/>
      <c r="S122" s="23"/>
      <c r="T122" s="23"/>
      <c r="U122" s="23"/>
      <c r="V122" s="23"/>
      <c r="W122" s="23"/>
      <c r="X122" s="3"/>
      <c r="Y122" s="4"/>
      <c r="Z122" s="4"/>
      <c r="AA122" s="4"/>
    </row>
    <row r="123" spans="1:27">
      <c r="A123" s="209" t="s">
        <v>86</v>
      </c>
      <c r="B123" s="210" t="e">
        <f>NPV(B98,C110,D110:Q110)+B110</f>
        <v>#VALUE!</v>
      </c>
      <c r="C123" s="211" t="e">
        <f>NPV(B98,C110,D110:V110)+B110</f>
        <v>#VALUE!</v>
      </c>
      <c r="D123" s="212" t="e">
        <f>NPV(B98,C110,D110:AA110)+B110</f>
        <v>#VALUE!</v>
      </c>
      <c r="E123" s="213"/>
      <c r="F123" s="213"/>
      <c r="G123" s="213"/>
      <c r="H123" s="214"/>
      <c r="I123" s="23"/>
      <c r="J123" s="23"/>
      <c r="K123" s="23"/>
      <c r="L123" s="23"/>
      <c r="M123" s="23"/>
      <c r="N123" s="23"/>
      <c r="O123" s="23"/>
      <c r="P123" s="23"/>
      <c r="Q123" s="23"/>
      <c r="R123" s="23"/>
      <c r="S123" s="23"/>
      <c r="T123" s="23"/>
      <c r="U123" s="23"/>
      <c r="V123" s="23"/>
      <c r="W123" s="23"/>
      <c r="X123" s="3"/>
      <c r="Y123" s="4"/>
      <c r="Z123" s="4"/>
      <c r="AA123" s="4"/>
    </row>
    <row r="124" spans="1:27">
      <c r="A124" s="209" t="s">
        <v>90</v>
      </c>
      <c r="B124" s="210" t="e">
        <f>NPV(B98,C115,D115:Q115)+B115</f>
        <v>#VALUE!</v>
      </c>
      <c r="C124" s="211" t="e">
        <f>NPV(B98,C115,D115:V115)+B115</f>
        <v>#VALUE!</v>
      </c>
      <c r="D124" s="212" t="e">
        <f>NPV(B98,C115,D115:AA115)+B115</f>
        <v>#VALUE!</v>
      </c>
      <c r="E124" s="213"/>
      <c r="F124" s="213"/>
      <c r="G124" s="213"/>
      <c r="H124" s="214"/>
      <c r="I124" s="23"/>
      <c r="J124" s="23"/>
      <c r="K124" s="23"/>
      <c r="L124" s="23"/>
      <c r="M124" s="23"/>
      <c r="N124" s="23"/>
      <c r="O124" s="23"/>
      <c r="P124" s="23"/>
      <c r="Q124" s="23"/>
      <c r="R124" s="23"/>
      <c r="S124" s="23"/>
      <c r="T124" s="23"/>
      <c r="U124" s="23"/>
      <c r="V124" s="23"/>
      <c r="W124" s="23"/>
      <c r="X124" s="3"/>
      <c r="Y124" s="4"/>
      <c r="Z124" s="4"/>
      <c r="AA124" s="4"/>
    </row>
    <row r="125" spans="1:27" s="1" customFormat="1" ht="16" thickBot="1">
      <c r="A125" s="215" t="s">
        <v>303</v>
      </c>
      <c r="B125" s="216" t="e">
        <f>((Q104-Q103)/(1+B98)^15)*$B$4</f>
        <v>#VALUE!</v>
      </c>
      <c r="C125" s="217" t="e">
        <f>((V104-V103)/(1+B98)^20)*$B$4</f>
        <v>#VALUE!</v>
      </c>
      <c r="D125" s="218" t="e">
        <f>(AA104/(1+B98)^25)*$B$4</f>
        <v>#VALUE!</v>
      </c>
      <c r="E125" s="219"/>
      <c r="F125" s="219"/>
      <c r="G125" s="219"/>
      <c r="H125" s="23"/>
      <c r="I125" s="23"/>
      <c r="J125" s="23"/>
      <c r="K125" s="23"/>
      <c r="L125" s="23"/>
      <c r="M125" s="23"/>
      <c r="N125" s="23"/>
      <c r="O125" s="23"/>
      <c r="P125" s="23"/>
      <c r="Q125" s="23"/>
      <c r="R125" s="23"/>
      <c r="S125" s="23"/>
      <c r="T125" s="23"/>
      <c r="U125" s="23"/>
      <c r="V125" s="23"/>
      <c r="W125" s="23"/>
      <c r="X125" s="3"/>
      <c r="Y125" s="3"/>
      <c r="Z125" s="3"/>
      <c r="AA125" s="3"/>
    </row>
    <row r="126" spans="1:27" s="27" customFormat="1" ht="16" thickTop="1">
      <c r="A126" s="58"/>
      <c r="B126" s="480"/>
      <c r="C126" s="480"/>
      <c r="D126" s="480"/>
      <c r="E126" s="238"/>
      <c r="F126" s="238"/>
      <c r="G126" s="238"/>
      <c r="H126" s="239"/>
      <c r="I126" s="240"/>
      <c r="J126" s="240"/>
      <c r="K126" s="240"/>
      <c r="L126" s="240"/>
      <c r="M126" s="240"/>
      <c r="N126" s="240"/>
      <c r="O126" s="240"/>
      <c r="P126" s="240"/>
      <c r="Q126" s="240"/>
      <c r="R126" s="240"/>
      <c r="S126" s="240"/>
      <c r="T126" s="240"/>
      <c r="U126" s="240"/>
      <c r="V126" s="240"/>
      <c r="W126" s="240"/>
      <c r="X126" s="241"/>
      <c r="Y126" s="242"/>
      <c r="Z126" s="242"/>
      <c r="AA126" s="242"/>
    </row>
    <row r="127" spans="1:27" ht="16" thickBot="1">
      <c r="A127" s="4"/>
      <c r="B127" s="481"/>
      <c r="C127" s="13"/>
      <c r="D127" s="486"/>
      <c r="E127" s="5"/>
      <c r="F127" s="5"/>
      <c r="G127" s="5"/>
      <c r="H127" s="5"/>
      <c r="I127" s="5"/>
      <c r="J127" s="5"/>
      <c r="K127" s="5"/>
      <c r="L127" s="5"/>
      <c r="M127" s="5"/>
      <c r="N127" s="5"/>
      <c r="O127" s="5"/>
      <c r="P127" s="5"/>
      <c r="Q127" s="5"/>
      <c r="R127" s="5"/>
      <c r="S127" s="5"/>
      <c r="T127" s="5"/>
      <c r="U127" s="5"/>
      <c r="V127" s="5"/>
      <c r="W127" s="4"/>
      <c r="X127" s="4"/>
      <c r="Y127" s="4"/>
      <c r="Z127" s="4"/>
      <c r="AA127" s="4"/>
    </row>
    <row r="128" spans="1:27" ht="36" customHeight="1" thickTop="1" thickBot="1">
      <c r="A128" s="1016" t="s">
        <v>346</v>
      </c>
      <c r="B128" s="1015"/>
      <c r="C128" s="1031" t="s">
        <v>454</v>
      </c>
      <c r="D128" s="1036"/>
      <c r="E128" s="1036"/>
      <c r="F128" s="1036"/>
      <c r="G128" s="1036"/>
      <c r="H128" s="1036"/>
      <c r="I128" s="1036"/>
      <c r="J128" s="1036"/>
      <c r="K128" s="1036"/>
      <c r="L128" s="1032"/>
      <c r="M128" s="1032"/>
      <c r="N128" s="1032"/>
      <c r="O128" s="1032"/>
      <c r="P128" s="1032"/>
      <c r="Q128" s="1032"/>
      <c r="R128" s="1033"/>
      <c r="S128" s="149"/>
      <c r="T128" s="149"/>
      <c r="U128" s="149"/>
      <c r="V128" s="149"/>
      <c r="W128" s="4"/>
      <c r="X128" s="4"/>
      <c r="Y128" s="4"/>
      <c r="Z128" s="4"/>
      <c r="AA128" s="4"/>
    </row>
    <row r="129" spans="1:27">
      <c r="A129" s="150" t="s">
        <v>83</v>
      </c>
      <c r="B129" s="657" t="str">
        <f>IF(Inputs!E26="No","",Inputs!$D$16)</f>
        <v/>
      </c>
      <c r="C129" s="152" t="s">
        <v>193</v>
      </c>
      <c r="D129" s="255"/>
      <c r="E129" s="149"/>
      <c r="F129" s="149"/>
      <c r="G129" s="149"/>
      <c r="H129" s="149"/>
      <c r="I129" s="149"/>
      <c r="J129" s="149"/>
      <c r="K129" s="149"/>
      <c r="L129" s="149"/>
      <c r="M129" s="149"/>
      <c r="N129" s="149"/>
      <c r="O129" s="149"/>
      <c r="P129" s="149"/>
      <c r="Q129" s="149"/>
      <c r="R129" s="149"/>
      <c r="S129" s="149"/>
      <c r="T129" s="149"/>
      <c r="U129" s="149"/>
      <c r="V129" s="149"/>
      <c r="W129" s="4"/>
      <c r="X129" s="4"/>
      <c r="Y129" s="4"/>
      <c r="Z129" s="4"/>
      <c r="AA129" s="4"/>
    </row>
    <row r="130" spans="1:27">
      <c r="A130" s="150" t="s">
        <v>221</v>
      </c>
      <c r="B130" s="151">
        <f>'Regional Fuel Costs'!C49</f>
        <v>5.5999999999999999E-3</v>
      </c>
      <c r="C130" s="152" t="s">
        <v>193</v>
      </c>
      <c r="D130" s="255"/>
      <c r="E130" s="149"/>
      <c r="F130" s="149"/>
      <c r="G130" s="149"/>
      <c r="H130" s="149"/>
      <c r="I130" s="149"/>
      <c r="J130" s="149"/>
      <c r="K130" s="149"/>
      <c r="L130" s="149"/>
      <c r="M130" s="149"/>
      <c r="N130" s="149"/>
      <c r="O130" s="149"/>
      <c r="P130" s="149"/>
      <c r="Q130" s="149"/>
      <c r="R130" s="149"/>
      <c r="S130" s="149"/>
      <c r="T130" s="149"/>
      <c r="U130" s="149"/>
      <c r="V130" s="149"/>
      <c r="W130" s="4"/>
      <c r="X130" s="4"/>
      <c r="Y130" s="4"/>
      <c r="Z130" s="4"/>
      <c r="AA130" s="4"/>
    </row>
    <row r="131" spans="1:27" ht="16">
      <c r="A131" s="150" t="s">
        <v>412</v>
      </c>
      <c r="B131" s="658">
        <f>Inputs!$D$11</f>
        <v>12</v>
      </c>
      <c r="C131" s="154" t="s">
        <v>290</v>
      </c>
      <c r="D131" s="255"/>
      <c r="E131" s="149"/>
      <c r="F131" s="149"/>
      <c r="G131" s="149"/>
      <c r="H131" s="149"/>
      <c r="I131" s="149"/>
      <c r="J131" s="149"/>
      <c r="K131" s="149"/>
      <c r="L131" s="149"/>
      <c r="M131" s="149"/>
      <c r="N131" s="149"/>
      <c r="O131" s="149"/>
      <c r="P131" s="149"/>
      <c r="Q131" s="149"/>
      <c r="R131" s="149"/>
      <c r="S131" s="149"/>
      <c r="T131" s="149"/>
      <c r="U131" s="149"/>
      <c r="V131" s="149"/>
      <c r="W131" s="4"/>
      <c r="X131" s="4"/>
      <c r="Y131" s="4"/>
      <c r="Z131" s="4"/>
      <c r="AA131" s="4"/>
    </row>
    <row r="132" spans="1:27">
      <c r="A132" s="150" t="s">
        <v>188</v>
      </c>
      <c r="B132" s="658">
        <f>Inputs!K26</f>
        <v>3.5</v>
      </c>
      <c r="C132" s="155" t="s">
        <v>196</v>
      </c>
      <c r="D132" s="255"/>
      <c r="E132" s="149"/>
      <c r="F132" s="149"/>
      <c r="G132" s="149"/>
      <c r="H132" s="149"/>
      <c r="I132" s="149"/>
      <c r="J132" s="149"/>
      <c r="K132" s="149"/>
      <c r="L132" s="149"/>
      <c r="M132" s="149"/>
      <c r="N132" s="149"/>
      <c r="O132" s="149"/>
      <c r="P132" s="149"/>
      <c r="Q132" s="149"/>
      <c r="R132" s="149"/>
      <c r="S132" s="149"/>
      <c r="T132" s="149"/>
      <c r="U132" s="149"/>
      <c r="V132" s="149"/>
      <c r="W132" s="4"/>
      <c r="X132" s="4"/>
      <c r="Y132" s="4"/>
      <c r="Z132" s="4"/>
      <c r="AA132" s="4"/>
    </row>
    <row r="133" spans="1:27">
      <c r="A133" s="150" t="s">
        <v>187</v>
      </c>
      <c r="B133" s="156">
        <f>'System Efficiencies'!C4</f>
        <v>0.95</v>
      </c>
      <c r="C133" s="155" t="s">
        <v>196</v>
      </c>
      <c r="D133" s="255"/>
      <c r="E133" s="149"/>
      <c r="F133" s="149"/>
      <c r="G133" s="149"/>
      <c r="H133" s="149"/>
      <c r="I133" s="149"/>
      <c r="J133" s="149"/>
      <c r="K133" s="149"/>
      <c r="L133" s="149"/>
      <c r="M133" s="149"/>
      <c r="N133" s="149"/>
      <c r="O133" s="149"/>
      <c r="P133" s="149"/>
      <c r="Q133" s="149"/>
      <c r="R133" s="149"/>
      <c r="S133" s="149"/>
      <c r="T133" s="149"/>
      <c r="U133" s="149"/>
      <c r="V133" s="149"/>
      <c r="W133" s="4"/>
      <c r="X133" s="4"/>
      <c r="Y133" s="4"/>
      <c r="Z133" s="4"/>
      <c r="AA133" s="4"/>
    </row>
    <row r="134" spans="1:27">
      <c r="A134" s="150" t="s">
        <v>189</v>
      </c>
      <c r="B134" s="659">
        <f>B132*B133</f>
        <v>3.3249999999999997</v>
      </c>
      <c r="C134" s="155" t="s">
        <v>196</v>
      </c>
      <c r="D134" s="255"/>
      <c r="E134" s="149"/>
      <c r="F134" s="149"/>
      <c r="G134" s="149"/>
      <c r="H134" s="149"/>
      <c r="I134" s="149"/>
      <c r="J134" s="149"/>
      <c r="K134" s="149"/>
      <c r="L134" s="149"/>
      <c r="M134" s="149"/>
      <c r="N134" s="149"/>
      <c r="O134" s="149"/>
      <c r="P134" s="149"/>
      <c r="Q134" s="149"/>
      <c r="R134" s="149"/>
      <c r="S134" s="149"/>
      <c r="T134" s="149"/>
      <c r="U134" s="149"/>
      <c r="V134" s="149"/>
      <c r="W134" s="4"/>
      <c r="X134" s="4"/>
      <c r="Y134" s="4"/>
      <c r="Z134" s="4"/>
      <c r="AA134" s="4"/>
    </row>
    <row r="135" spans="1:27" ht="16">
      <c r="A135" s="256" t="s">
        <v>413</v>
      </c>
      <c r="B135" s="658">
        <f>IF(Inputs!C8="No",0,Inputs!$D$13)</f>
        <v>0</v>
      </c>
      <c r="C135" s="154" t="s">
        <v>290</v>
      </c>
      <c r="D135" s="255"/>
      <c r="E135" s="149"/>
      <c r="F135" s="149"/>
      <c r="G135" s="149"/>
      <c r="H135" s="149"/>
      <c r="I135" s="149"/>
      <c r="J135" s="149"/>
      <c r="K135" s="149"/>
      <c r="L135" s="149"/>
      <c r="M135" s="149"/>
      <c r="N135" s="149"/>
      <c r="O135" s="149"/>
      <c r="P135" s="149"/>
      <c r="Q135" s="149"/>
      <c r="R135" s="149"/>
      <c r="S135" s="149"/>
      <c r="T135" s="149"/>
      <c r="U135" s="149"/>
      <c r="V135" s="149"/>
      <c r="W135" s="4"/>
      <c r="X135" s="4"/>
      <c r="Y135" s="4"/>
      <c r="Z135" s="4"/>
      <c r="AA135" s="4"/>
    </row>
    <row r="136" spans="1:27">
      <c r="A136" s="256" t="s">
        <v>190</v>
      </c>
      <c r="B136" s="658" t="str">
        <f>Inputs!M26</f>
        <v>N/A</v>
      </c>
      <c r="C136" s="155" t="s">
        <v>196</v>
      </c>
      <c r="D136" s="255"/>
      <c r="E136" s="149"/>
      <c r="F136" s="149"/>
      <c r="G136" s="149"/>
      <c r="H136" s="149"/>
      <c r="I136" s="149"/>
      <c r="J136" s="149"/>
      <c r="K136" s="149"/>
      <c r="L136" s="149"/>
      <c r="M136" s="149"/>
      <c r="N136" s="149"/>
      <c r="O136" s="149"/>
      <c r="P136" s="149"/>
      <c r="Q136" s="149"/>
      <c r="R136" s="149"/>
      <c r="S136" s="149"/>
      <c r="T136" s="149"/>
      <c r="U136" s="149"/>
      <c r="V136" s="149"/>
      <c r="W136" s="4"/>
      <c r="X136" s="4"/>
      <c r="Y136" s="4"/>
      <c r="Z136" s="4"/>
      <c r="AA136" s="4"/>
    </row>
    <row r="137" spans="1:27">
      <c r="A137" s="256" t="s">
        <v>191</v>
      </c>
      <c r="B137" s="156">
        <f>'System Efficiencies'!C5</f>
        <v>0.95</v>
      </c>
      <c r="C137" s="155" t="s">
        <v>196</v>
      </c>
      <c r="D137" s="255"/>
      <c r="E137" s="149"/>
      <c r="F137" s="149"/>
      <c r="G137" s="149"/>
      <c r="H137" s="149"/>
      <c r="I137" s="149"/>
      <c r="J137" s="149"/>
      <c r="K137" s="149"/>
      <c r="L137" s="149"/>
      <c r="M137" s="149"/>
      <c r="N137" s="149"/>
      <c r="O137" s="149"/>
      <c r="P137" s="149"/>
      <c r="Q137" s="149"/>
      <c r="R137" s="149"/>
      <c r="S137" s="149"/>
      <c r="T137" s="149"/>
      <c r="U137" s="149"/>
      <c r="V137" s="149"/>
      <c r="W137" s="4"/>
      <c r="X137" s="4"/>
      <c r="Y137" s="4"/>
      <c r="Z137" s="4"/>
      <c r="AA137" s="4"/>
    </row>
    <row r="138" spans="1:27">
      <c r="A138" s="256" t="s">
        <v>192</v>
      </c>
      <c r="B138" s="659" t="e">
        <f>B136*B137</f>
        <v>#VALUE!</v>
      </c>
      <c r="C138" s="155" t="s">
        <v>196</v>
      </c>
      <c r="D138" s="255"/>
      <c r="E138" s="149"/>
      <c r="F138" s="149"/>
      <c r="G138" s="149"/>
      <c r="H138" s="149"/>
      <c r="I138" s="149"/>
      <c r="J138" s="149"/>
      <c r="K138" s="149"/>
      <c r="L138" s="149"/>
      <c r="M138" s="149"/>
      <c r="N138" s="149"/>
      <c r="O138" s="149"/>
      <c r="P138" s="149"/>
      <c r="Q138" s="149"/>
      <c r="R138" s="149"/>
      <c r="S138" s="149"/>
      <c r="T138" s="149"/>
      <c r="U138" s="149"/>
      <c r="V138" s="149"/>
      <c r="W138" s="4"/>
      <c r="X138" s="4"/>
      <c r="Y138" s="4"/>
      <c r="Z138" s="4"/>
      <c r="AA138" s="4"/>
    </row>
    <row r="139" spans="1:27" ht="16">
      <c r="A139" s="150" t="s">
        <v>82</v>
      </c>
      <c r="B139" s="658" t="str">
        <f>Inputs!I26</f>
        <v>N/A</v>
      </c>
      <c r="C139" s="157" t="s">
        <v>195</v>
      </c>
      <c r="D139" s="255"/>
      <c r="E139" s="149"/>
      <c r="F139" s="149"/>
      <c r="G139" s="149"/>
      <c r="H139" s="149"/>
      <c r="I139" s="149"/>
      <c r="J139" s="149"/>
      <c r="K139" s="149"/>
      <c r="L139" s="149"/>
      <c r="M139" s="149"/>
      <c r="N139" s="149"/>
      <c r="O139" s="149"/>
      <c r="P139" s="149"/>
      <c r="Q139" s="149"/>
      <c r="R139" s="257"/>
      <c r="S139" s="257"/>
      <c r="T139" s="257"/>
      <c r="U139" s="257"/>
      <c r="V139" s="258"/>
      <c r="W139" s="258"/>
      <c r="X139" s="258"/>
      <c r="Y139" s="258"/>
      <c r="Z139" s="258"/>
      <c r="AA139" s="258"/>
    </row>
    <row r="140" spans="1:27">
      <c r="A140" s="150" t="s">
        <v>81</v>
      </c>
      <c r="B140" s="153">
        <f>'Capital Cost Structure'!E26</f>
        <v>25</v>
      </c>
      <c r="C140" s="157" t="s">
        <v>195</v>
      </c>
      <c r="D140" s="255"/>
      <c r="E140" s="302" t="s">
        <v>285</v>
      </c>
      <c r="F140" s="149"/>
      <c r="G140" s="149"/>
      <c r="H140" s="149"/>
      <c r="I140" s="149"/>
      <c r="J140" s="149"/>
      <c r="K140" s="149"/>
      <c r="L140" s="149"/>
      <c r="M140" s="149"/>
      <c r="N140" s="149"/>
      <c r="O140" s="149"/>
      <c r="P140" s="149"/>
      <c r="Q140" s="149"/>
      <c r="R140" s="149"/>
      <c r="S140" s="149"/>
      <c r="T140" s="149"/>
      <c r="U140" s="149"/>
      <c r="V140" s="149"/>
      <c r="W140" s="4"/>
      <c r="X140" s="4"/>
      <c r="Y140" s="4"/>
      <c r="Z140" s="4"/>
      <c r="AA140" s="4"/>
    </row>
    <row r="141" spans="1:27">
      <c r="A141" s="150" t="s">
        <v>32</v>
      </c>
      <c r="B141" s="156">
        <f>$B$5</f>
        <v>0.05</v>
      </c>
      <c r="C141" s="248" t="s">
        <v>194</v>
      </c>
      <c r="D141" s="255"/>
      <c r="E141" s="149"/>
      <c r="F141" s="149"/>
      <c r="G141" s="149"/>
      <c r="H141" s="149"/>
      <c r="I141" s="149"/>
      <c r="J141" s="149"/>
      <c r="K141" s="149"/>
      <c r="L141" s="149"/>
      <c r="M141" s="149"/>
      <c r="N141" s="149"/>
      <c r="O141" s="149"/>
      <c r="P141" s="149"/>
      <c r="Q141" s="149"/>
      <c r="R141" s="149"/>
      <c r="S141" s="149"/>
      <c r="T141" s="149"/>
      <c r="U141" s="149"/>
      <c r="V141" s="149"/>
      <c r="W141" s="4"/>
      <c r="X141" s="4"/>
      <c r="Y141" s="4"/>
      <c r="Z141" s="4"/>
      <c r="AA141" s="4"/>
    </row>
    <row r="142" spans="1:27" ht="16" thickBot="1">
      <c r="A142" s="159" t="s">
        <v>405</v>
      </c>
      <c r="B142" s="547">
        <f>Inputs!F26</f>
        <v>0</v>
      </c>
      <c r="C142" s="249" t="s">
        <v>194</v>
      </c>
      <c r="D142" s="160"/>
      <c r="E142" s="161"/>
      <c r="F142" s="161"/>
      <c r="G142" s="161"/>
      <c r="H142" s="161"/>
      <c r="I142" s="161"/>
      <c r="J142" s="161"/>
      <c r="K142" s="161"/>
      <c r="L142" s="161"/>
      <c r="M142" s="161"/>
      <c r="N142" s="161"/>
      <c r="O142" s="161"/>
      <c r="P142" s="161"/>
      <c r="Q142" s="161"/>
      <c r="R142" s="161"/>
      <c r="S142" s="161"/>
      <c r="T142" s="161"/>
      <c r="U142" s="161"/>
      <c r="V142" s="161"/>
      <c r="W142" s="4"/>
      <c r="X142" s="4"/>
      <c r="Y142" s="4"/>
      <c r="Z142" s="4"/>
      <c r="AA142" s="4"/>
    </row>
    <row r="143" spans="1:27" ht="17" thickTop="1" thickBot="1">
      <c r="A143" s="6" t="s">
        <v>0</v>
      </c>
      <c r="B143" s="139" t="s">
        <v>51</v>
      </c>
      <c r="C143" s="117" t="s">
        <v>1</v>
      </c>
      <c r="D143" s="117" t="s">
        <v>2</v>
      </c>
      <c r="E143" s="117" t="s">
        <v>3</v>
      </c>
      <c r="F143" s="117" t="s">
        <v>4</v>
      </c>
      <c r="G143" s="117" t="s">
        <v>5</v>
      </c>
      <c r="H143" s="117" t="s">
        <v>6</v>
      </c>
      <c r="I143" s="117" t="s">
        <v>7</v>
      </c>
      <c r="J143" s="117" t="s">
        <v>8</v>
      </c>
      <c r="K143" s="117" t="s">
        <v>9</v>
      </c>
      <c r="L143" s="117" t="s">
        <v>10</v>
      </c>
      <c r="M143" s="117" t="s">
        <v>11</v>
      </c>
      <c r="N143" s="117" t="s">
        <v>12</v>
      </c>
      <c r="O143" s="117" t="s">
        <v>13</v>
      </c>
      <c r="P143" s="117" t="s">
        <v>14</v>
      </c>
      <c r="Q143" s="162" t="s">
        <v>15</v>
      </c>
      <c r="R143" s="139" t="s">
        <v>16</v>
      </c>
      <c r="S143" s="117" t="s">
        <v>17</v>
      </c>
      <c r="T143" s="117" t="s">
        <v>18</v>
      </c>
      <c r="U143" s="117" t="s">
        <v>19</v>
      </c>
      <c r="V143" s="163" t="s">
        <v>20</v>
      </c>
      <c r="W143" s="164" t="s">
        <v>93</v>
      </c>
      <c r="X143" s="165" t="s">
        <v>94</v>
      </c>
      <c r="Y143" s="165" t="s">
        <v>95</v>
      </c>
      <c r="Z143" s="165" t="s">
        <v>96</v>
      </c>
      <c r="AA143" s="166" t="s">
        <v>97</v>
      </c>
    </row>
    <row r="144" spans="1:27" ht="16">
      <c r="A144" s="167" t="s">
        <v>314</v>
      </c>
      <c r="B144" s="168" t="e">
        <f>B139*(1-Inputs!G26)</f>
        <v>#VALUE!</v>
      </c>
      <c r="C144" s="169"/>
      <c r="D144" s="169"/>
      <c r="E144" s="169"/>
      <c r="F144" s="169"/>
      <c r="G144" s="169"/>
      <c r="H144" s="169"/>
      <c r="I144" s="169"/>
      <c r="J144" s="169"/>
      <c r="K144" s="169"/>
      <c r="L144" s="169"/>
      <c r="M144" s="169"/>
      <c r="N144" s="169"/>
      <c r="O144" s="169"/>
      <c r="P144" s="169"/>
      <c r="Q144" s="170"/>
      <c r="R144" s="171"/>
      <c r="S144" s="169"/>
      <c r="T144" s="169"/>
      <c r="U144" s="169"/>
      <c r="V144" s="172"/>
      <c r="W144" s="169"/>
      <c r="X144" s="169"/>
      <c r="Y144" s="169"/>
      <c r="Z144" s="169"/>
      <c r="AA144" s="173"/>
    </row>
    <row r="145" spans="1:27">
      <c r="A145" s="6" t="s">
        <v>270</v>
      </c>
      <c r="B145" s="139"/>
      <c r="C145" s="7"/>
      <c r="D145" s="7"/>
      <c r="E145" s="7"/>
      <c r="F145" s="7"/>
      <c r="G145" s="269" t="s">
        <v>152</v>
      </c>
      <c r="H145" s="127"/>
      <c r="I145" s="127"/>
      <c r="J145" s="127"/>
      <c r="K145" s="127"/>
      <c r="L145" s="269" t="s">
        <v>370</v>
      </c>
      <c r="M145" s="7"/>
      <c r="N145" s="7"/>
      <c r="O145" s="7"/>
      <c r="P145" s="7"/>
      <c r="Q145" s="162" t="s">
        <v>371</v>
      </c>
      <c r="R145" s="174"/>
      <c r="S145" s="7"/>
      <c r="T145" s="7"/>
      <c r="U145" s="7"/>
      <c r="V145" s="163" t="s">
        <v>370</v>
      </c>
      <c r="W145" s="7"/>
      <c r="X145" s="7"/>
      <c r="Y145" s="7"/>
      <c r="Z145" s="7"/>
      <c r="AA145" s="175"/>
    </row>
    <row r="146" spans="1:27" ht="16">
      <c r="A146" s="6" t="s">
        <v>38</v>
      </c>
      <c r="B146" s="139">
        <v>0</v>
      </c>
      <c r="C146" s="7"/>
      <c r="D146" s="7"/>
      <c r="E146" s="7"/>
      <c r="F146" s="7"/>
      <c r="G146" s="651" t="e">
        <f>('Capital Cost Structure'!F31*B139)</f>
        <v>#VALUE!</v>
      </c>
      <c r="H146" s="127"/>
      <c r="I146" s="127"/>
      <c r="J146" s="127"/>
      <c r="K146" s="127"/>
      <c r="L146" s="651" t="e">
        <f>('Capital Cost Structure'!F31*B139)+('Capital Cost Structure'!F30*B139)</f>
        <v>#VALUE!</v>
      </c>
      <c r="M146" s="7"/>
      <c r="N146" s="7"/>
      <c r="O146" s="7"/>
      <c r="P146" s="7"/>
      <c r="Q146" s="653" t="e">
        <f>('Capital Cost Structure'!F31*B139)+('Capital Cost Structure'!F32*B139)+('Capital Cost Structure'!F27*B139)</f>
        <v>#VALUE!</v>
      </c>
      <c r="R146" s="174"/>
      <c r="S146" s="7"/>
      <c r="T146" s="7"/>
      <c r="U146" s="7"/>
      <c r="V146" s="653" t="e">
        <f>('Capital Cost Structure'!F31*B139)+('Capital Cost Structure'!F30*B139)</f>
        <v>#VALUE!</v>
      </c>
      <c r="W146" s="7"/>
      <c r="X146" s="7"/>
      <c r="Y146" s="7"/>
      <c r="Z146" s="7"/>
      <c r="AA146" s="175"/>
    </row>
    <row r="147" spans="1:27">
      <c r="A147" s="6" t="s">
        <v>50</v>
      </c>
      <c r="B147" s="139" t="e">
        <f>B144</f>
        <v>#VALUE!</v>
      </c>
      <c r="C147" s="7" t="e">
        <f>B147+C146-($B$144/$B$140)</f>
        <v>#VALUE!</v>
      </c>
      <c r="D147" s="7" t="e">
        <f t="shared" ref="D147:AA147" si="39">C147+D146-($B$144/$B$140)</f>
        <v>#VALUE!</v>
      </c>
      <c r="E147" s="7" t="e">
        <f t="shared" si="39"/>
        <v>#VALUE!</v>
      </c>
      <c r="F147" s="7" t="e">
        <f t="shared" si="39"/>
        <v>#VALUE!</v>
      </c>
      <c r="G147" s="7" t="e">
        <f t="shared" si="39"/>
        <v>#VALUE!</v>
      </c>
      <c r="H147" s="7" t="e">
        <f t="shared" si="39"/>
        <v>#VALUE!</v>
      </c>
      <c r="I147" s="7" t="e">
        <f t="shared" si="39"/>
        <v>#VALUE!</v>
      </c>
      <c r="J147" s="7" t="e">
        <f t="shared" si="39"/>
        <v>#VALUE!</v>
      </c>
      <c r="K147" s="7" t="e">
        <f t="shared" si="39"/>
        <v>#VALUE!</v>
      </c>
      <c r="L147" s="7" t="e">
        <f t="shared" si="39"/>
        <v>#VALUE!</v>
      </c>
      <c r="M147" s="7" t="e">
        <f t="shared" si="39"/>
        <v>#VALUE!</v>
      </c>
      <c r="N147" s="7" t="e">
        <f t="shared" si="39"/>
        <v>#VALUE!</v>
      </c>
      <c r="O147" s="7" t="e">
        <f t="shared" si="39"/>
        <v>#VALUE!</v>
      </c>
      <c r="P147" s="7" t="e">
        <f t="shared" si="39"/>
        <v>#VALUE!</v>
      </c>
      <c r="Q147" s="104" t="e">
        <f t="shared" si="39"/>
        <v>#VALUE!</v>
      </c>
      <c r="R147" s="174" t="e">
        <f t="shared" si="39"/>
        <v>#VALUE!</v>
      </c>
      <c r="S147" s="7" t="e">
        <f t="shared" si="39"/>
        <v>#VALUE!</v>
      </c>
      <c r="T147" s="7" t="e">
        <f t="shared" si="39"/>
        <v>#VALUE!</v>
      </c>
      <c r="U147" s="7" t="e">
        <f t="shared" si="39"/>
        <v>#VALUE!</v>
      </c>
      <c r="V147" s="179" t="e">
        <f t="shared" si="39"/>
        <v>#VALUE!</v>
      </c>
      <c r="W147" s="7" t="e">
        <f t="shared" si="39"/>
        <v>#VALUE!</v>
      </c>
      <c r="X147" s="7" t="e">
        <f t="shared" si="39"/>
        <v>#VALUE!</v>
      </c>
      <c r="Y147" s="7" t="e">
        <f t="shared" si="39"/>
        <v>#VALUE!</v>
      </c>
      <c r="Z147" s="7" t="e">
        <f t="shared" si="39"/>
        <v>#VALUE!</v>
      </c>
      <c r="AA147" s="175" t="e">
        <f t="shared" si="39"/>
        <v>#VALUE!</v>
      </c>
    </row>
    <row r="148" spans="1:27" ht="16">
      <c r="A148" s="180" t="s">
        <v>22</v>
      </c>
      <c r="B148" s="183" t="e">
        <f>B144+B146+(B142/$B$4)</f>
        <v>#VALUE!</v>
      </c>
      <c r="C148" s="181">
        <f t="shared" ref="C148:AA148" si="40">C144+C146</f>
        <v>0</v>
      </c>
      <c r="D148" s="181">
        <f t="shared" si="40"/>
        <v>0</v>
      </c>
      <c r="E148" s="181">
        <f t="shared" si="40"/>
        <v>0</v>
      </c>
      <c r="F148" s="181">
        <f t="shared" si="40"/>
        <v>0</v>
      </c>
      <c r="G148" s="181" t="e">
        <f>G144+G146</f>
        <v>#VALUE!</v>
      </c>
      <c r="H148" s="181">
        <f t="shared" si="40"/>
        <v>0</v>
      </c>
      <c r="I148" s="181">
        <f t="shared" si="40"/>
        <v>0</v>
      </c>
      <c r="J148" s="181">
        <f t="shared" si="40"/>
        <v>0</v>
      </c>
      <c r="K148" s="181">
        <f t="shared" si="40"/>
        <v>0</v>
      </c>
      <c r="L148" s="181" t="e">
        <f t="shared" si="40"/>
        <v>#VALUE!</v>
      </c>
      <c r="M148" s="181">
        <f t="shared" si="40"/>
        <v>0</v>
      </c>
      <c r="N148" s="181">
        <f t="shared" si="40"/>
        <v>0</v>
      </c>
      <c r="O148" s="181">
        <f t="shared" si="40"/>
        <v>0</v>
      </c>
      <c r="P148" s="181">
        <f t="shared" si="40"/>
        <v>0</v>
      </c>
      <c r="Q148" s="182" t="e">
        <f t="shared" si="40"/>
        <v>#VALUE!</v>
      </c>
      <c r="R148" s="183">
        <f t="shared" si="40"/>
        <v>0</v>
      </c>
      <c r="S148" s="181">
        <f t="shared" si="40"/>
        <v>0</v>
      </c>
      <c r="T148" s="181">
        <f t="shared" si="40"/>
        <v>0</v>
      </c>
      <c r="U148" s="181">
        <f t="shared" si="40"/>
        <v>0</v>
      </c>
      <c r="V148" s="182" t="e">
        <f t="shared" si="40"/>
        <v>#VALUE!</v>
      </c>
      <c r="W148" s="181">
        <f t="shared" si="40"/>
        <v>0</v>
      </c>
      <c r="X148" s="181">
        <f t="shared" si="40"/>
        <v>0</v>
      </c>
      <c r="Y148" s="181">
        <f t="shared" si="40"/>
        <v>0</v>
      </c>
      <c r="Z148" s="181">
        <f t="shared" si="40"/>
        <v>0</v>
      </c>
      <c r="AA148" s="182">
        <f t="shared" si="40"/>
        <v>0</v>
      </c>
    </row>
    <row r="149" spans="1:27" s="18" customFormat="1" ht="16" thickBot="1">
      <c r="A149" s="184" t="s">
        <v>87</v>
      </c>
      <c r="B149" s="185" t="e">
        <f>(B148*$B$4)</f>
        <v>#VALUE!</v>
      </c>
      <c r="C149" s="186">
        <f t="shared" ref="C149:V149" si="41">C148*$B$4</f>
        <v>0</v>
      </c>
      <c r="D149" s="186">
        <f>D148*$B$4</f>
        <v>0</v>
      </c>
      <c r="E149" s="186">
        <f t="shared" si="41"/>
        <v>0</v>
      </c>
      <c r="F149" s="186">
        <f t="shared" si="41"/>
        <v>0</v>
      </c>
      <c r="G149" s="186" t="e">
        <f t="shared" si="41"/>
        <v>#VALUE!</v>
      </c>
      <c r="H149" s="186">
        <f t="shared" si="41"/>
        <v>0</v>
      </c>
      <c r="I149" s="186">
        <f t="shared" si="41"/>
        <v>0</v>
      </c>
      <c r="J149" s="186">
        <f t="shared" si="41"/>
        <v>0</v>
      </c>
      <c r="K149" s="186">
        <f t="shared" si="41"/>
        <v>0</v>
      </c>
      <c r="L149" s="186" t="e">
        <f t="shared" si="41"/>
        <v>#VALUE!</v>
      </c>
      <c r="M149" s="186">
        <f t="shared" si="41"/>
        <v>0</v>
      </c>
      <c r="N149" s="186">
        <f t="shared" si="41"/>
        <v>0</v>
      </c>
      <c r="O149" s="186">
        <f t="shared" si="41"/>
        <v>0</v>
      </c>
      <c r="P149" s="186">
        <f t="shared" si="41"/>
        <v>0</v>
      </c>
      <c r="Q149" s="187" t="e">
        <f t="shared" si="41"/>
        <v>#VALUE!</v>
      </c>
      <c r="R149" s="185">
        <f t="shared" si="41"/>
        <v>0</v>
      </c>
      <c r="S149" s="186">
        <f t="shared" si="41"/>
        <v>0</v>
      </c>
      <c r="T149" s="186">
        <f t="shared" si="41"/>
        <v>0</v>
      </c>
      <c r="U149" s="186">
        <f t="shared" si="41"/>
        <v>0</v>
      </c>
      <c r="V149" s="188" t="e">
        <f t="shared" si="41"/>
        <v>#VALUE!</v>
      </c>
      <c r="W149" s="186">
        <f>W148*$B$4</f>
        <v>0</v>
      </c>
      <c r="X149" s="186">
        <f>X148*$B$4</f>
        <v>0</v>
      </c>
      <c r="Y149" s="186">
        <f>Y148*$B$4</f>
        <v>0</v>
      </c>
      <c r="Z149" s="186">
        <f>Z148*$B$4</f>
        <v>0</v>
      </c>
      <c r="AA149" s="189">
        <f>AA148*$B$4</f>
        <v>0</v>
      </c>
    </row>
    <row r="150" spans="1:27">
      <c r="A150" s="6"/>
      <c r="B150" s="139"/>
      <c r="C150" s="7"/>
      <c r="D150" s="7"/>
      <c r="E150" s="7"/>
      <c r="F150" s="7"/>
      <c r="G150" s="7"/>
      <c r="H150" s="7"/>
      <c r="I150" s="7"/>
      <c r="J150" s="7"/>
      <c r="K150" s="7"/>
      <c r="L150" s="7"/>
      <c r="M150" s="7"/>
      <c r="N150" s="7"/>
      <c r="O150" s="7"/>
      <c r="P150" s="7"/>
      <c r="Q150" s="104"/>
      <c r="R150" s="174"/>
      <c r="S150" s="7"/>
      <c r="T150" s="7"/>
      <c r="U150" s="7"/>
      <c r="V150" s="179"/>
      <c r="W150" s="7"/>
      <c r="X150" s="7"/>
      <c r="Y150" s="7"/>
      <c r="Z150" s="7"/>
      <c r="AA150" s="175"/>
    </row>
    <row r="151" spans="1:27">
      <c r="A151" s="6" t="s">
        <v>21</v>
      </c>
      <c r="B151" s="139">
        <v>0</v>
      </c>
      <c r="C151" s="17">
        <v>0.01</v>
      </c>
      <c r="D151" s="17">
        <f>C151+(0.01/($B$140-1))</f>
        <v>1.0416666666666666E-2</v>
      </c>
      <c r="E151" s="17">
        <f>D151+(0.01/($B$140-1))</f>
        <v>1.0833333333333332E-2</v>
      </c>
      <c r="F151" s="17">
        <f t="shared" ref="F151:P151" si="42">E151+(0.01/($B$140-1))</f>
        <v>1.1249999999999998E-2</v>
      </c>
      <c r="G151" s="17">
        <f t="shared" si="42"/>
        <v>1.1666666666666664E-2</v>
      </c>
      <c r="H151" s="17">
        <f t="shared" si="42"/>
        <v>1.208333333333333E-2</v>
      </c>
      <c r="I151" s="17">
        <f t="shared" si="42"/>
        <v>1.2499999999999995E-2</v>
      </c>
      <c r="J151" s="17">
        <f t="shared" si="42"/>
        <v>1.2916666666666661E-2</v>
      </c>
      <c r="K151" s="17">
        <f t="shared" si="42"/>
        <v>1.3333333333333327E-2</v>
      </c>
      <c r="L151" s="17">
        <f t="shared" si="42"/>
        <v>1.3749999999999993E-2</v>
      </c>
      <c r="M151" s="17">
        <f>L151+(0.01/($B$140-1))</f>
        <v>1.4166666666666659E-2</v>
      </c>
      <c r="N151" s="17">
        <f>M151+(0.01/($B$140-1))</f>
        <v>1.4583333333333325E-2</v>
      </c>
      <c r="O151" s="17">
        <f t="shared" si="42"/>
        <v>1.4999999999999991E-2</v>
      </c>
      <c r="P151" s="17">
        <f t="shared" si="42"/>
        <v>1.5416666666666657E-2</v>
      </c>
      <c r="Q151" s="190">
        <f>P151+(0.01/($B$140-1))</f>
        <v>1.5833333333333324E-2</v>
      </c>
      <c r="R151" s="17">
        <f>Q151+(0.01/($B$140-1))</f>
        <v>1.624999999999999E-2</v>
      </c>
      <c r="S151" s="17">
        <f t="shared" ref="S151:AA151" si="43">R151+(0.01/($B$140-1))</f>
        <v>1.6666666666666656E-2</v>
      </c>
      <c r="T151" s="17">
        <f t="shared" si="43"/>
        <v>1.7083333333333322E-2</v>
      </c>
      <c r="U151" s="17">
        <f t="shared" si="43"/>
        <v>1.7499999999999988E-2</v>
      </c>
      <c r="V151" s="192">
        <f t="shared" si="43"/>
        <v>1.7916666666666654E-2</v>
      </c>
      <c r="W151" s="17">
        <f t="shared" si="43"/>
        <v>1.833333333333332E-2</v>
      </c>
      <c r="X151" s="17">
        <f t="shared" si="43"/>
        <v>1.8749999999999985E-2</v>
      </c>
      <c r="Y151" s="17">
        <f t="shared" si="43"/>
        <v>1.9166666666666651E-2</v>
      </c>
      <c r="Z151" s="17">
        <f t="shared" si="43"/>
        <v>1.9583333333333317E-2</v>
      </c>
      <c r="AA151" s="193">
        <f t="shared" si="43"/>
        <v>1.9999999999999983E-2</v>
      </c>
    </row>
    <row r="152" spans="1:27" ht="16">
      <c r="A152" s="180" t="s">
        <v>23</v>
      </c>
      <c r="B152" s="194" t="e">
        <f>B151*$B$139</f>
        <v>#VALUE!</v>
      </c>
      <c r="C152" s="194" t="e">
        <f>C151*$B$139</f>
        <v>#VALUE!</v>
      </c>
      <c r="D152" s="194" t="e">
        <f t="shared" ref="D152:AA152" si="44">D151*$B$139</f>
        <v>#VALUE!</v>
      </c>
      <c r="E152" s="194" t="e">
        <f>E151*$B$139</f>
        <v>#VALUE!</v>
      </c>
      <c r="F152" s="194" t="e">
        <f t="shared" si="44"/>
        <v>#VALUE!</v>
      </c>
      <c r="G152" s="194" t="e">
        <f t="shared" si="44"/>
        <v>#VALUE!</v>
      </c>
      <c r="H152" s="194" t="e">
        <f t="shared" si="44"/>
        <v>#VALUE!</v>
      </c>
      <c r="I152" s="194" t="e">
        <f t="shared" si="44"/>
        <v>#VALUE!</v>
      </c>
      <c r="J152" s="194" t="e">
        <f t="shared" si="44"/>
        <v>#VALUE!</v>
      </c>
      <c r="K152" s="194" t="e">
        <f t="shared" si="44"/>
        <v>#VALUE!</v>
      </c>
      <c r="L152" s="194" t="e">
        <f>L151*$B$139</f>
        <v>#VALUE!</v>
      </c>
      <c r="M152" s="194" t="e">
        <f t="shared" si="44"/>
        <v>#VALUE!</v>
      </c>
      <c r="N152" s="194" t="e">
        <f t="shared" si="44"/>
        <v>#VALUE!</v>
      </c>
      <c r="O152" s="194" t="e">
        <f t="shared" si="44"/>
        <v>#VALUE!</v>
      </c>
      <c r="P152" s="194" t="e">
        <f t="shared" si="44"/>
        <v>#VALUE!</v>
      </c>
      <c r="Q152" s="195" t="e">
        <f t="shared" si="44"/>
        <v>#VALUE!</v>
      </c>
      <c r="R152" s="196" t="e">
        <f t="shared" si="44"/>
        <v>#VALUE!</v>
      </c>
      <c r="S152" s="194" t="e">
        <f t="shared" si="44"/>
        <v>#VALUE!</v>
      </c>
      <c r="T152" s="194" t="e">
        <f t="shared" si="44"/>
        <v>#VALUE!</v>
      </c>
      <c r="U152" s="194" t="e">
        <f t="shared" si="44"/>
        <v>#VALUE!</v>
      </c>
      <c r="V152" s="195" t="e">
        <f t="shared" si="44"/>
        <v>#VALUE!</v>
      </c>
      <c r="W152" s="194" t="e">
        <f t="shared" si="44"/>
        <v>#VALUE!</v>
      </c>
      <c r="X152" s="194" t="e">
        <f t="shared" si="44"/>
        <v>#VALUE!</v>
      </c>
      <c r="Y152" s="194" t="e">
        <f t="shared" si="44"/>
        <v>#VALUE!</v>
      </c>
      <c r="Z152" s="194" t="e">
        <f t="shared" si="44"/>
        <v>#VALUE!</v>
      </c>
      <c r="AA152" s="195" t="e">
        <f t="shared" si="44"/>
        <v>#VALUE!</v>
      </c>
    </row>
    <row r="153" spans="1:27" s="24" customFormat="1" ht="16" thickBot="1">
      <c r="A153" s="197" t="s">
        <v>88</v>
      </c>
      <c r="B153" s="279" t="e">
        <f t="shared" ref="B153:V153" si="45">B152*$B$4</f>
        <v>#VALUE!</v>
      </c>
      <c r="C153" s="277" t="e">
        <f>C152*$B$4</f>
        <v>#VALUE!</v>
      </c>
      <c r="D153" s="277" t="e">
        <f t="shared" si="45"/>
        <v>#VALUE!</v>
      </c>
      <c r="E153" s="277" t="e">
        <f t="shared" si="45"/>
        <v>#VALUE!</v>
      </c>
      <c r="F153" s="277" t="e">
        <f t="shared" si="45"/>
        <v>#VALUE!</v>
      </c>
      <c r="G153" s="277" t="e">
        <f t="shared" si="45"/>
        <v>#VALUE!</v>
      </c>
      <c r="H153" s="277" t="e">
        <f t="shared" si="45"/>
        <v>#VALUE!</v>
      </c>
      <c r="I153" s="277" t="e">
        <f t="shared" si="45"/>
        <v>#VALUE!</v>
      </c>
      <c r="J153" s="277" t="e">
        <f t="shared" si="45"/>
        <v>#VALUE!</v>
      </c>
      <c r="K153" s="277" t="e">
        <f>K152*$B$4</f>
        <v>#VALUE!</v>
      </c>
      <c r="L153" s="277" t="e">
        <f t="shared" si="45"/>
        <v>#VALUE!</v>
      </c>
      <c r="M153" s="277" t="e">
        <f t="shared" si="45"/>
        <v>#VALUE!</v>
      </c>
      <c r="N153" s="277" t="e">
        <f t="shared" si="45"/>
        <v>#VALUE!</v>
      </c>
      <c r="O153" s="277" t="e">
        <f t="shared" si="45"/>
        <v>#VALUE!</v>
      </c>
      <c r="P153" s="277" t="e">
        <f t="shared" si="45"/>
        <v>#VALUE!</v>
      </c>
      <c r="Q153" s="278" t="e">
        <f t="shared" si="45"/>
        <v>#VALUE!</v>
      </c>
      <c r="R153" s="279" t="e">
        <f t="shared" si="45"/>
        <v>#VALUE!</v>
      </c>
      <c r="S153" s="277" t="e">
        <f t="shared" si="45"/>
        <v>#VALUE!</v>
      </c>
      <c r="T153" s="277" t="e">
        <f t="shared" si="45"/>
        <v>#VALUE!</v>
      </c>
      <c r="U153" s="277" t="e">
        <f t="shared" si="45"/>
        <v>#VALUE!</v>
      </c>
      <c r="V153" s="280" t="e">
        <f t="shared" si="45"/>
        <v>#VALUE!</v>
      </c>
      <c r="W153" s="277" t="e">
        <f>W152*$B$4</f>
        <v>#VALUE!</v>
      </c>
      <c r="X153" s="277" t="e">
        <f>X152*$B$4</f>
        <v>#VALUE!</v>
      </c>
      <c r="Y153" s="277" t="e">
        <f>Y152*$B$4</f>
        <v>#VALUE!</v>
      </c>
      <c r="Z153" s="277" t="e">
        <f>Z152*$B$4</f>
        <v>#VALUE!</v>
      </c>
      <c r="AA153" s="281" t="e">
        <f>AA152*$B$4</f>
        <v>#VALUE!</v>
      </c>
    </row>
    <row r="154" spans="1:27">
      <c r="A154" s="199"/>
      <c r="B154" s="174"/>
      <c r="C154" s="7"/>
      <c r="D154" s="7"/>
      <c r="E154" s="7"/>
      <c r="F154" s="7"/>
      <c r="G154" s="7"/>
      <c r="H154" s="7"/>
      <c r="I154" s="7"/>
      <c r="J154" s="7"/>
      <c r="K154" s="7"/>
      <c r="L154" s="7"/>
      <c r="M154" s="7"/>
      <c r="N154" s="7"/>
      <c r="O154" s="7"/>
      <c r="P154" s="7"/>
      <c r="Q154" s="104"/>
      <c r="R154" s="174"/>
      <c r="S154" s="7"/>
      <c r="T154" s="7"/>
      <c r="U154" s="7"/>
      <c r="V154" s="179"/>
      <c r="W154" s="7"/>
      <c r="X154" s="7"/>
      <c r="Y154" s="7"/>
      <c r="Z154" s="7"/>
      <c r="AA154" s="175"/>
    </row>
    <row r="155" spans="1:27">
      <c r="A155" s="6" t="s">
        <v>25</v>
      </c>
      <c r="B155" s="139">
        <v>0</v>
      </c>
      <c r="C155" s="259" t="str">
        <f>B129</f>
        <v/>
      </c>
      <c r="D155" s="259" t="e">
        <f t="shared" ref="D155:AA155" si="46">C155+C156</f>
        <v>#VALUE!</v>
      </c>
      <c r="E155" s="259" t="e">
        <f t="shared" si="46"/>
        <v>#VALUE!</v>
      </c>
      <c r="F155" s="259" t="e">
        <f t="shared" si="46"/>
        <v>#VALUE!</v>
      </c>
      <c r="G155" s="259" t="e">
        <f t="shared" si="46"/>
        <v>#VALUE!</v>
      </c>
      <c r="H155" s="259" t="e">
        <f t="shared" si="46"/>
        <v>#VALUE!</v>
      </c>
      <c r="I155" s="259" t="e">
        <f t="shared" si="46"/>
        <v>#VALUE!</v>
      </c>
      <c r="J155" s="259" t="e">
        <f t="shared" si="46"/>
        <v>#VALUE!</v>
      </c>
      <c r="K155" s="259" t="e">
        <f t="shared" si="46"/>
        <v>#VALUE!</v>
      </c>
      <c r="L155" s="259" t="e">
        <f t="shared" si="46"/>
        <v>#VALUE!</v>
      </c>
      <c r="M155" s="259" t="e">
        <f t="shared" si="46"/>
        <v>#VALUE!</v>
      </c>
      <c r="N155" s="259" t="e">
        <f>M155+M156</f>
        <v>#VALUE!</v>
      </c>
      <c r="O155" s="259" t="e">
        <f t="shared" si="46"/>
        <v>#VALUE!</v>
      </c>
      <c r="P155" s="259" t="e">
        <f t="shared" si="46"/>
        <v>#VALUE!</v>
      </c>
      <c r="Q155" s="105" t="e">
        <f t="shared" si="46"/>
        <v>#VALUE!</v>
      </c>
      <c r="R155" s="260" t="e">
        <f t="shared" si="46"/>
        <v>#VALUE!</v>
      </c>
      <c r="S155" s="259" t="e">
        <f t="shared" si="46"/>
        <v>#VALUE!</v>
      </c>
      <c r="T155" s="259" t="e">
        <f t="shared" si="46"/>
        <v>#VALUE!</v>
      </c>
      <c r="U155" s="259" t="e">
        <f t="shared" si="46"/>
        <v>#VALUE!</v>
      </c>
      <c r="V155" s="261" t="e">
        <f t="shared" si="46"/>
        <v>#VALUE!</v>
      </c>
      <c r="W155" s="259" t="e">
        <f t="shared" si="46"/>
        <v>#VALUE!</v>
      </c>
      <c r="X155" s="259" t="e">
        <f t="shared" si="46"/>
        <v>#VALUE!</v>
      </c>
      <c r="Y155" s="259" t="e">
        <f t="shared" si="46"/>
        <v>#VALUE!</v>
      </c>
      <c r="Z155" s="259" t="e">
        <f t="shared" si="46"/>
        <v>#VALUE!</v>
      </c>
      <c r="AA155" s="262" t="e">
        <f t="shared" si="46"/>
        <v>#VALUE!</v>
      </c>
    </row>
    <row r="156" spans="1:27">
      <c r="A156" s="6" t="s">
        <v>248</v>
      </c>
      <c r="B156" s="139"/>
      <c r="C156" s="259" t="e">
        <f>C155*$B$130</f>
        <v>#VALUE!</v>
      </c>
      <c r="D156" s="259" t="e">
        <f t="shared" ref="D156:AA156" si="47">D155*$B$130</f>
        <v>#VALUE!</v>
      </c>
      <c r="E156" s="259" t="e">
        <f>E155*$B$130</f>
        <v>#VALUE!</v>
      </c>
      <c r="F156" s="259" t="e">
        <f t="shared" si="47"/>
        <v>#VALUE!</v>
      </c>
      <c r="G156" s="259" t="e">
        <f t="shared" si="47"/>
        <v>#VALUE!</v>
      </c>
      <c r="H156" s="259" t="e">
        <f t="shared" si="47"/>
        <v>#VALUE!</v>
      </c>
      <c r="I156" s="259" t="e">
        <f>I155*$B$130</f>
        <v>#VALUE!</v>
      </c>
      <c r="J156" s="259" t="e">
        <f t="shared" si="47"/>
        <v>#VALUE!</v>
      </c>
      <c r="K156" s="259" t="e">
        <f t="shared" si="47"/>
        <v>#VALUE!</v>
      </c>
      <c r="L156" s="259" t="e">
        <f t="shared" si="47"/>
        <v>#VALUE!</v>
      </c>
      <c r="M156" s="259" t="e">
        <f t="shared" si="47"/>
        <v>#VALUE!</v>
      </c>
      <c r="N156" s="259" t="e">
        <f t="shared" si="47"/>
        <v>#VALUE!</v>
      </c>
      <c r="O156" s="259" t="e">
        <f t="shared" si="47"/>
        <v>#VALUE!</v>
      </c>
      <c r="P156" s="259" t="e">
        <f t="shared" si="47"/>
        <v>#VALUE!</v>
      </c>
      <c r="Q156" s="105" t="e">
        <f t="shared" si="47"/>
        <v>#VALUE!</v>
      </c>
      <c r="R156" s="260" t="e">
        <f t="shared" si="47"/>
        <v>#VALUE!</v>
      </c>
      <c r="S156" s="259" t="e">
        <f t="shared" si="47"/>
        <v>#VALUE!</v>
      </c>
      <c r="T156" s="259" t="e">
        <f t="shared" si="47"/>
        <v>#VALUE!</v>
      </c>
      <c r="U156" s="259" t="e">
        <f t="shared" si="47"/>
        <v>#VALUE!</v>
      </c>
      <c r="V156" s="261" t="e">
        <f t="shared" si="47"/>
        <v>#VALUE!</v>
      </c>
      <c r="W156" s="259" t="e">
        <f t="shared" si="47"/>
        <v>#VALUE!</v>
      </c>
      <c r="X156" s="259" t="e">
        <f t="shared" si="47"/>
        <v>#VALUE!</v>
      </c>
      <c r="Y156" s="259" t="e">
        <f t="shared" si="47"/>
        <v>#VALUE!</v>
      </c>
      <c r="Z156" s="259" t="e">
        <f t="shared" si="47"/>
        <v>#VALUE!</v>
      </c>
      <c r="AA156" s="262" t="e">
        <f t="shared" si="47"/>
        <v>#VALUE!</v>
      </c>
    </row>
    <row r="157" spans="1:27" ht="16">
      <c r="A157" s="180" t="s">
        <v>24</v>
      </c>
      <c r="B157" s="194">
        <f>B155*(($B$131*(1/$B$134))+IF(ISERROR($B$138),0,($B$135*(1/$B$138))))</f>
        <v>0</v>
      </c>
      <c r="C157" s="194" t="e">
        <f>C155*(($B$131*(1/$B$134))+IF(ISERROR($B$138),0,($B$135*(1/$B$138))))</f>
        <v>#VALUE!</v>
      </c>
      <c r="D157" s="194" t="e">
        <f t="shared" ref="D157:AA157" si="48">D155*(($B$131*(1/$B$134))+IF(ISERROR($B$138),0,($B$135*(1/$B$138))))</f>
        <v>#VALUE!</v>
      </c>
      <c r="E157" s="194" t="e">
        <f t="shared" si="48"/>
        <v>#VALUE!</v>
      </c>
      <c r="F157" s="194" t="e">
        <f t="shared" si="48"/>
        <v>#VALUE!</v>
      </c>
      <c r="G157" s="194" t="e">
        <f t="shared" si="48"/>
        <v>#VALUE!</v>
      </c>
      <c r="H157" s="194" t="e">
        <f t="shared" si="48"/>
        <v>#VALUE!</v>
      </c>
      <c r="I157" s="194" t="e">
        <f t="shared" si="48"/>
        <v>#VALUE!</v>
      </c>
      <c r="J157" s="194" t="e">
        <f t="shared" si="48"/>
        <v>#VALUE!</v>
      </c>
      <c r="K157" s="194" t="e">
        <f t="shared" si="48"/>
        <v>#VALUE!</v>
      </c>
      <c r="L157" s="194" t="e">
        <f t="shared" si="48"/>
        <v>#VALUE!</v>
      </c>
      <c r="M157" s="194" t="e">
        <f t="shared" si="48"/>
        <v>#VALUE!</v>
      </c>
      <c r="N157" s="194" t="e">
        <f t="shared" si="48"/>
        <v>#VALUE!</v>
      </c>
      <c r="O157" s="194" t="e">
        <f t="shared" si="48"/>
        <v>#VALUE!</v>
      </c>
      <c r="P157" s="194" t="e">
        <f t="shared" si="48"/>
        <v>#VALUE!</v>
      </c>
      <c r="Q157" s="195" t="e">
        <f t="shared" si="48"/>
        <v>#VALUE!</v>
      </c>
      <c r="R157" s="196" t="e">
        <f t="shared" si="48"/>
        <v>#VALUE!</v>
      </c>
      <c r="S157" s="194" t="e">
        <f t="shared" si="48"/>
        <v>#VALUE!</v>
      </c>
      <c r="T157" s="194" t="e">
        <f t="shared" si="48"/>
        <v>#VALUE!</v>
      </c>
      <c r="U157" s="194" t="e">
        <f t="shared" si="48"/>
        <v>#VALUE!</v>
      </c>
      <c r="V157" s="195" t="e">
        <f t="shared" si="48"/>
        <v>#VALUE!</v>
      </c>
      <c r="W157" s="194" t="e">
        <f t="shared" si="48"/>
        <v>#VALUE!</v>
      </c>
      <c r="X157" s="194" t="e">
        <f t="shared" si="48"/>
        <v>#VALUE!</v>
      </c>
      <c r="Y157" s="194" t="e">
        <f t="shared" si="48"/>
        <v>#VALUE!</v>
      </c>
      <c r="Z157" s="194" t="e">
        <f t="shared" si="48"/>
        <v>#VALUE!</v>
      </c>
      <c r="AA157" s="195" t="e">
        <f t="shared" si="48"/>
        <v>#VALUE!</v>
      </c>
    </row>
    <row r="158" spans="1:27" s="24" customFormat="1" ht="16" thickBot="1">
      <c r="A158" s="197" t="s">
        <v>89</v>
      </c>
      <c r="B158" s="288">
        <f t="shared" ref="B158:V158" si="49">B157*$B$4</f>
        <v>0</v>
      </c>
      <c r="C158" s="277" t="e">
        <f>C157*$B$4</f>
        <v>#VALUE!</v>
      </c>
      <c r="D158" s="277" t="e">
        <f>D157*$B$4</f>
        <v>#VALUE!</v>
      </c>
      <c r="E158" s="277" t="e">
        <f>E157*$B$4</f>
        <v>#VALUE!</v>
      </c>
      <c r="F158" s="277" t="e">
        <f t="shared" si="49"/>
        <v>#VALUE!</v>
      </c>
      <c r="G158" s="277" t="e">
        <f t="shared" si="49"/>
        <v>#VALUE!</v>
      </c>
      <c r="H158" s="277" t="e">
        <f t="shared" si="49"/>
        <v>#VALUE!</v>
      </c>
      <c r="I158" s="277" t="e">
        <f t="shared" si="49"/>
        <v>#VALUE!</v>
      </c>
      <c r="J158" s="277" t="e">
        <f t="shared" si="49"/>
        <v>#VALUE!</v>
      </c>
      <c r="K158" s="277" t="e">
        <f t="shared" si="49"/>
        <v>#VALUE!</v>
      </c>
      <c r="L158" s="277" t="e">
        <f t="shared" si="49"/>
        <v>#VALUE!</v>
      </c>
      <c r="M158" s="277" t="e">
        <f t="shared" si="49"/>
        <v>#VALUE!</v>
      </c>
      <c r="N158" s="277" t="e">
        <f t="shared" si="49"/>
        <v>#VALUE!</v>
      </c>
      <c r="O158" s="277" t="e">
        <f t="shared" si="49"/>
        <v>#VALUE!</v>
      </c>
      <c r="P158" s="277" t="e">
        <f t="shared" si="49"/>
        <v>#VALUE!</v>
      </c>
      <c r="Q158" s="278" t="e">
        <f t="shared" si="49"/>
        <v>#VALUE!</v>
      </c>
      <c r="R158" s="279" t="e">
        <f t="shared" si="49"/>
        <v>#VALUE!</v>
      </c>
      <c r="S158" s="277" t="e">
        <f t="shared" si="49"/>
        <v>#VALUE!</v>
      </c>
      <c r="T158" s="277" t="e">
        <f t="shared" si="49"/>
        <v>#VALUE!</v>
      </c>
      <c r="U158" s="277" t="e">
        <f t="shared" si="49"/>
        <v>#VALUE!</v>
      </c>
      <c r="V158" s="280" t="e">
        <f t="shared" si="49"/>
        <v>#VALUE!</v>
      </c>
      <c r="W158" s="277" t="e">
        <f>W157*$B$4</f>
        <v>#VALUE!</v>
      </c>
      <c r="X158" s="277" t="e">
        <f>X157*$B$4</f>
        <v>#VALUE!</v>
      </c>
      <c r="Y158" s="277" t="e">
        <f>Y157*$B$4</f>
        <v>#VALUE!</v>
      </c>
      <c r="Z158" s="277" t="e">
        <f>Z157*$B$4</f>
        <v>#VALUE!</v>
      </c>
      <c r="AA158" s="281" t="e">
        <f>AA157*$B$4</f>
        <v>#VALUE!</v>
      </c>
    </row>
    <row r="159" spans="1:27" s="24" customFormat="1">
      <c r="A159" s="167"/>
      <c r="B159" s="168"/>
      <c r="C159" s="169"/>
      <c r="D159" s="169"/>
      <c r="E159" s="169"/>
      <c r="F159" s="169"/>
      <c r="G159" s="169"/>
      <c r="H159" s="169"/>
      <c r="I159" s="169"/>
      <c r="J159" s="169"/>
      <c r="K159" s="169"/>
      <c r="L159" s="169"/>
      <c r="M159" s="169"/>
      <c r="N159" s="169"/>
      <c r="O159" s="169"/>
      <c r="P159" s="169"/>
      <c r="Q159" s="170"/>
      <c r="R159" s="171"/>
      <c r="S159" s="169"/>
      <c r="T159" s="169"/>
      <c r="U159" s="169"/>
      <c r="V159" s="172"/>
      <c r="W159" s="169"/>
      <c r="X159" s="169"/>
      <c r="Y159" s="169"/>
      <c r="Z159" s="169"/>
      <c r="AA159" s="173"/>
    </row>
    <row r="160" spans="1:27" ht="16">
      <c r="A160" s="6" t="s">
        <v>34</v>
      </c>
      <c r="B160" s="291" t="e">
        <f>B148+B152+B157</f>
        <v>#VALUE!</v>
      </c>
      <c r="C160" s="118" t="e">
        <f>C148+C152+C157</f>
        <v>#VALUE!</v>
      </c>
      <c r="D160" s="118" t="e">
        <f t="shared" ref="D160:V160" si="50">D148+D152+D157</f>
        <v>#VALUE!</v>
      </c>
      <c r="E160" s="118" t="e">
        <f t="shared" si="50"/>
        <v>#VALUE!</v>
      </c>
      <c r="F160" s="118" t="e">
        <f t="shared" si="50"/>
        <v>#VALUE!</v>
      </c>
      <c r="G160" s="118" t="e">
        <f t="shared" si="50"/>
        <v>#VALUE!</v>
      </c>
      <c r="H160" s="118" t="e">
        <f t="shared" si="50"/>
        <v>#VALUE!</v>
      </c>
      <c r="I160" s="118" t="e">
        <f t="shared" si="50"/>
        <v>#VALUE!</v>
      </c>
      <c r="J160" s="118" t="e">
        <f t="shared" si="50"/>
        <v>#VALUE!</v>
      </c>
      <c r="K160" s="118" t="e">
        <f t="shared" si="50"/>
        <v>#VALUE!</v>
      </c>
      <c r="L160" s="118" t="e">
        <f t="shared" si="50"/>
        <v>#VALUE!</v>
      </c>
      <c r="M160" s="118" t="e">
        <f t="shared" si="50"/>
        <v>#VALUE!</v>
      </c>
      <c r="N160" s="118" t="e">
        <f t="shared" si="50"/>
        <v>#VALUE!</v>
      </c>
      <c r="O160" s="118" t="e">
        <f t="shared" si="50"/>
        <v>#VALUE!</v>
      </c>
      <c r="P160" s="118" t="e">
        <f t="shared" si="50"/>
        <v>#VALUE!</v>
      </c>
      <c r="Q160" s="202" t="e">
        <f t="shared" si="50"/>
        <v>#VALUE!</v>
      </c>
      <c r="R160" s="136" t="e">
        <f>R148+R152+R157</f>
        <v>#VALUE!</v>
      </c>
      <c r="S160" s="118" t="e">
        <f t="shared" si="50"/>
        <v>#VALUE!</v>
      </c>
      <c r="T160" s="118" t="e">
        <f t="shared" si="50"/>
        <v>#VALUE!</v>
      </c>
      <c r="U160" s="118" t="e">
        <f t="shared" si="50"/>
        <v>#VALUE!</v>
      </c>
      <c r="V160" s="203" t="e">
        <f t="shared" si="50"/>
        <v>#VALUE!</v>
      </c>
      <c r="W160" s="118" t="e">
        <f>W148+W152+W157</f>
        <v>#VALUE!</v>
      </c>
      <c r="X160" s="118" t="e">
        <f>X148+X152+X157</f>
        <v>#VALUE!</v>
      </c>
      <c r="Y160" s="118" t="e">
        <f>Y148+Y152+Y157</f>
        <v>#VALUE!</v>
      </c>
      <c r="Z160" s="118" t="e">
        <f>Z148+Z152+Z157</f>
        <v>#VALUE!</v>
      </c>
      <c r="AA160" s="204" t="e">
        <f>AA148+AA152+AA157</f>
        <v>#VALUE!</v>
      </c>
    </row>
    <row r="161" spans="1:27" ht="16" thickBot="1">
      <c r="A161" s="135" t="s">
        <v>35</v>
      </c>
      <c r="B161" s="243" t="e">
        <f>($B$4*B160)</f>
        <v>#VALUE!</v>
      </c>
      <c r="C161" s="243" t="e">
        <f>$B$4*C160</f>
        <v>#VALUE!</v>
      </c>
      <c r="D161" s="243" t="e">
        <f>$B$4*D160</f>
        <v>#VALUE!</v>
      </c>
      <c r="E161" s="243" t="e">
        <f t="shared" ref="E161:V161" si="51">$B$4*E160</f>
        <v>#VALUE!</v>
      </c>
      <c r="F161" s="243" t="e">
        <f t="shared" si="51"/>
        <v>#VALUE!</v>
      </c>
      <c r="G161" s="243" t="e">
        <f t="shared" si="51"/>
        <v>#VALUE!</v>
      </c>
      <c r="H161" s="243" t="e">
        <f t="shared" si="51"/>
        <v>#VALUE!</v>
      </c>
      <c r="I161" s="243" t="e">
        <f t="shared" si="51"/>
        <v>#VALUE!</v>
      </c>
      <c r="J161" s="243" t="e">
        <f t="shared" si="51"/>
        <v>#VALUE!</v>
      </c>
      <c r="K161" s="243" t="e">
        <f t="shared" si="51"/>
        <v>#VALUE!</v>
      </c>
      <c r="L161" s="243" t="e">
        <f t="shared" si="51"/>
        <v>#VALUE!</v>
      </c>
      <c r="M161" s="243" t="e">
        <f t="shared" si="51"/>
        <v>#VALUE!</v>
      </c>
      <c r="N161" s="243" t="e">
        <f t="shared" si="51"/>
        <v>#VALUE!</v>
      </c>
      <c r="O161" s="243" t="e">
        <f t="shared" si="51"/>
        <v>#VALUE!</v>
      </c>
      <c r="P161" s="243" t="e">
        <f t="shared" si="51"/>
        <v>#VALUE!</v>
      </c>
      <c r="Q161" s="250" t="e">
        <f t="shared" si="51"/>
        <v>#VALUE!</v>
      </c>
      <c r="R161" s="251" t="e">
        <f t="shared" si="51"/>
        <v>#VALUE!</v>
      </c>
      <c r="S161" s="243" t="e">
        <f t="shared" si="51"/>
        <v>#VALUE!</v>
      </c>
      <c r="T161" s="243" t="e">
        <f t="shared" si="51"/>
        <v>#VALUE!</v>
      </c>
      <c r="U161" s="243" t="e">
        <f t="shared" si="51"/>
        <v>#VALUE!</v>
      </c>
      <c r="V161" s="265" t="e">
        <f t="shared" si="51"/>
        <v>#VALUE!</v>
      </c>
      <c r="W161" s="243" t="e">
        <f>$B$4*W160</f>
        <v>#VALUE!</v>
      </c>
      <c r="X161" s="243" t="e">
        <f>$B$4*X160</f>
        <v>#VALUE!</v>
      </c>
      <c r="Y161" s="243" t="e">
        <f>$B$4*Y160</f>
        <v>#VALUE!</v>
      </c>
      <c r="Z161" s="243" t="e">
        <f>$B$4*Z160</f>
        <v>#VALUE!</v>
      </c>
      <c r="AA161" s="32" t="e">
        <f>$B$4*AA160</f>
        <v>#VALUE!</v>
      </c>
    </row>
    <row r="162" spans="1:27" ht="17" thickTop="1" thickBot="1">
      <c r="A162" s="236"/>
      <c r="B162" s="28" t="s">
        <v>98</v>
      </c>
      <c r="C162" s="29" t="s">
        <v>91</v>
      </c>
      <c r="D162" s="30" t="s">
        <v>92</v>
      </c>
      <c r="E162" s="205"/>
      <c r="F162" s="205"/>
      <c r="G162" s="205"/>
      <c r="H162" s="205"/>
      <c r="I162" s="205"/>
      <c r="J162" s="205"/>
      <c r="K162" s="205"/>
      <c r="L162" s="205"/>
      <c r="M162" s="205"/>
      <c r="N162" s="263"/>
      <c r="O162" s="263"/>
      <c r="P162" s="263"/>
      <c r="Q162" s="263"/>
      <c r="R162" s="263"/>
      <c r="S162" s="263"/>
      <c r="T162" s="263"/>
      <c r="U162" s="263"/>
      <c r="V162" s="263"/>
      <c r="W162" s="263"/>
      <c r="X162" s="263"/>
      <c r="Y162" s="263"/>
      <c r="Z162" s="263"/>
      <c r="AA162" s="263"/>
    </row>
    <row r="163" spans="1:27" ht="16">
      <c r="A163" s="6" t="s">
        <v>36</v>
      </c>
      <c r="B163" s="206" t="e">
        <f>NPV($B$5,C160,D160:Q160)+B160-(Q147/((1+B141)^15))</f>
        <v>#VALUE!</v>
      </c>
      <c r="C163" s="207" t="e">
        <f>NPV($B$5,C160,D160:V160)+B160-(V147/((1+B141)^20))</f>
        <v>#VALUE!</v>
      </c>
      <c r="D163" s="31" t="e">
        <f>NPV($B$5,C160,D160:AA160)+B160-(AA147/((1+B141)^25))</f>
        <v>#VALUE!</v>
      </c>
      <c r="E163" s="208"/>
      <c r="F163" s="5"/>
      <c r="G163" s="5"/>
      <c r="H163" s="5"/>
      <c r="I163" s="5"/>
      <c r="J163" s="5"/>
      <c r="K163" s="5"/>
      <c r="L163" s="5"/>
      <c r="M163" s="5"/>
      <c r="N163" s="5"/>
      <c r="O163" s="5"/>
      <c r="P163" s="5"/>
      <c r="Q163" s="5"/>
      <c r="R163" s="5"/>
      <c r="S163" s="5"/>
      <c r="T163" s="5"/>
      <c r="U163" s="5"/>
      <c r="V163" s="5"/>
      <c r="W163" s="5"/>
      <c r="X163" s="4"/>
      <c r="Y163" s="4"/>
      <c r="Z163" s="4"/>
      <c r="AA163" s="4"/>
    </row>
    <row r="164" spans="1:27">
      <c r="A164" s="264" t="s">
        <v>37</v>
      </c>
      <c r="B164" s="210" t="e">
        <f>(NPV(B141,C161,D161:Q161))+B161-(Q147*$B$4/(1+B141)^15)</f>
        <v>#VALUE!</v>
      </c>
      <c r="C164" s="211" t="e">
        <f>(NPV(B141,C161,D161:V161))+B161-(V147*$B$4/(1+B141)^20)</f>
        <v>#VALUE!</v>
      </c>
      <c r="D164" s="212" t="e">
        <f>(NPV(B141,C161,D161:AA161))+B161-(AA147*$B$4/(1+B141)^25)</f>
        <v>#VALUE!</v>
      </c>
      <c r="E164" s="213"/>
      <c r="F164" s="213"/>
      <c r="G164" s="213"/>
      <c r="H164" s="214"/>
      <c r="I164" s="23"/>
      <c r="J164" s="23"/>
      <c r="K164" s="23"/>
      <c r="L164" s="23"/>
      <c r="M164" s="23"/>
      <c r="N164" s="23"/>
      <c r="O164" s="23"/>
      <c r="P164" s="23"/>
      <c r="Q164" s="23"/>
      <c r="R164" s="23"/>
      <c r="S164" s="23"/>
      <c r="T164" s="23"/>
      <c r="U164" s="23"/>
      <c r="V164" s="23"/>
      <c r="W164" s="23"/>
      <c r="X164" s="4"/>
      <c r="Y164" s="4"/>
      <c r="Z164" s="4"/>
      <c r="AA164" s="4"/>
    </row>
    <row r="165" spans="1:27">
      <c r="A165" s="209" t="s">
        <v>85</v>
      </c>
      <c r="B165" s="210" t="e">
        <f>NPV(B141,C149,D149:Q149)+B149-(Q147*$B$4/(1+B141)^15)</f>
        <v>#VALUE!</v>
      </c>
      <c r="C165" s="211" t="e">
        <f>NPV(B141,C149,D149:V149)+B149-(V147*$B$4/(1+B141)^20)</f>
        <v>#VALUE!</v>
      </c>
      <c r="D165" s="212" t="e">
        <f>NPV(B141,C149,D149:AA149)+B149-(AA147*$B$4/(1+B141)^25)</f>
        <v>#VALUE!</v>
      </c>
      <c r="E165" s="213"/>
      <c r="F165" s="213"/>
      <c r="G165" s="213"/>
      <c r="H165" s="214"/>
      <c r="I165" s="23"/>
      <c r="J165" s="23"/>
      <c r="K165" s="23"/>
      <c r="L165" s="23"/>
      <c r="M165" s="23"/>
      <c r="N165" s="23"/>
      <c r="O165" s="23"/>
      <c r="P165" s="23"/>
      <c r="Q165" s="23"/>
      <c r="R165" s="23"/>
      <c r="S165" s="23"/>
      <c r="T165" s="23"/>
      <c r="U165" s="23"/>
      <c r="V165" s="23"/>
      <c r="W165" s="23"/>
      <c r="X165" s="4"/>
      <c r="Y165" s="4"/>
      <c r="Z165" s="4"/>
      <c r="AA165" s="4"/>
    </row>
    <row r="166" spans="1:27">
      <c r="A166" s="209" t="s">
        <v>86</v>
      </c>
      <c r="B166" s="210" t="e">
        <f>NPV(B141,C153,D153:Q153)+B153</f>
        <v>#VALUE!</v>
      </c>
      <c r="C166" s="211" t="e">
        <f>NPV(B141,C153,D153:V153)+B153</f>
        <v>#VALUE!</v>
      </c>
      <c r="D166" s="212" t="e">
        <f>NPV(B141,C153,D153:AA153)+B153</f>
        <v>#VALUE!</v>
      </c>
      <c r="E166" s="213"/>
      <c r="F166" s="213"/>
      <c r="G166" s="213"/>
      <c r="H166" s="214"/>
      <c r="I166" s="23"/>
      <c r="J166" s="23"/>
      <c r="K166" s="23"/>
      <c r="L166" s="23"/>
      <c r="M166" s="23"/>
      <c r="N166" s="23"/>
      <c r="O166" s="23"/>
      <c r="P166" s="23"/>
      <c r="Q166" s="23"/>
      <c r="R166" s="23"/>
      <c r="S166" s="23"/>
      <c r="T166" s="23"/>
      <c r="U166" s="23"/>
      <c r="V166" s="23"/>
      <c r="W166" s="23"/>
      <c r="X166" s="4"/>
      <c r="Y166" s="4"/>
      <c r="Z166" s="4"/>
      <c r="AA166" s="4"/>
    </row>
    <row r="167" spans="1:27">
      <c r="A167" s="209" t="s">
        <v>90</v>
      </c>
      <c r="B167" s="210" t="e">
        <f>NPV(B141,C158,D158:Q158)+B158</f>
        <v>#VALUE!</v>
      </c>
      <c r="C167" s="211" t="e">
        <f>NPV(B141,C158,D158:V158)+B158</f>
        <v>#VALUE!</v>
      </c>
      <c r="D167" s="212" t="e">
        <f>NPV(B141,C158,D158:AA158)+B158</f>
        <v>#VALUE!</v>
      </c>
      <c r="E167" s="213"/>
      <c r="F167" s="213"/>
      <c r="G167" s="213"/>
      <c r="H167" s="214"/>
      <c r="I167" s="23"/>
      <c r="J167" s="23"/>
      <c r="K167" s="23"/>
      <c r="L167" s="23"/>
      <c r="M167" s="23"/>
      <c r="N167" s="23"/>
      <c r="O167" s="23"/>
      <c r="P167" s="23"/>
      <c r="Q167" s="23"/>
      <c r="R167" s="23"/>
      <c r="S167" s="23"/>
      <c r="T167" s="23"/>
      <c r="U167" s="23"/>
      <c r="V167" s="23"/>
      <c r="W167" s="23"/>
      <c r="X167" s="4"/>
      <c r="Y167" s="4"/>
      <c r="Z167" s="4"/>
      <c r="AA167" s="4"/>
    </row>
    <row r="168" spans="1:27" s="1" customFormat="1" ht="16" thickBot="1">
      <c r="A168" s="215" t="s">
        <v>303</v>
      </c>
      <c r="B168" s="216" t="e">
        <f>((Q147-Q146)/(1+B141)^15)*$B$4</f>
        <v>#VALUE!</v>
      </c>
      <c r="C168" s="217" t="e">
        <f>((V147-V146)/(1+B141)^20)*$B$4</f>
        <v>#VALUE!</v>
      </c>
      <c r="D168" s="218" t="e">
        <f>(AA147/(1+B141)^25)*$B$4</f>
        <v>#VALUE!</v>
      </c>
      <c r="E168" s="219"/>
      <c r="F168" s="219"/>
      <c r="G168" s="219"/>
      <c r="H168" s="23"/>
      <c r="I168" s="23"/>
      <c r="J168" s="23"/>
      <c r="K168" s="23"/>
      <c r="L168" s="23"/>
      <c r="M168" s="23"/>
      <c r="N168" s="23"/>
      <c r="O168" s="23"/>
      <c r="P168" s="23"/>
      <c r="Q168" s="23"/>
      <c r="R168" s="23"/>
      <c r="S168" s="23"/>
      <c r="T168" s="23"/>
      <c r="U168" s="23"/>
      <c r="V168" s="23"/>
      <c r="W168" s="23"/>
      <c r="X168" s="3"/>
      <c r="Y168" s="3"/>
      <c r="Z168" s="3"/>
      <c r="AA168" s="3"/>
    </row>
    <row r="169" spans="1:27" ht="16" thickTop="1">
      <c r="A169" s="4"/>
      <c r="B169" s="480"/>
      <c r="C169" s="480"/>
      <c r="D169" s="480"/>
      <c r="E169" s="5"/>
      <c r="F169" s="5"/>
      <c r="G169" s="5"/>
      <c r="H169" s="5"/>
      <c r="I169" s="5"/>
      <c r="J169" s="5"/>
      <c r="K169" s="5"/>
      <c r="L169" s="5"/>
      <c r="M169" s="5"/>
      <c r="N169" s="5"/>
      <c r="O169" s="5"/>
      <c r="P169" s="5"/>
      <c r="Q169" s="5"/>
      <c r="R169" s="5"/>
      <c r="S169" s="5"/>
      <c r="T169" s="5"/>
      <c r="U169" s="5"/>
      <c r="V169" s="4"/>
      <c r="W169" s="4"/>
      <c r="X169" s="4"/>
      <c r="Y169" s="4"/>
      <c r="Z169" s="4"/>
      <c r="AA169" s="4"/>
    </row>
    <row r="170" spans="1:27" ht="16" thickBot="1">
      <c r="A170" s="4"/>
      <c r="B170" s="481"/>
      <c r="C170" s="13"/>
      <c r="D170" s="486"/>
      <c r="E170" s="5"/>
      <c r="F170" s="5"/>
      <c r="G170" s="5"/>
      <c r="H170" s="5"/>
      <c r="I170" s="5"/>
      <c r="J170" s="5"/>
      <c r="K170" s="5"/>
      <c r="L170" s="5"/>
      <c r="M170" s="5"/>
      <c r="N170" s="5"/>
      <c r="O170" s="5"/>
      <c r="P170" s="5"/>
      <c r="Q170" s="5"/>
      <c r="R170" s="5"/>
      <c r="S170" s="5"/>
      <c r="T170" s="5"/>
      <c r="U170" s="5"/>
      <c r="V170" s="5"/>
      <c r="W170" s="4"/>
      <c r="X170" s="4"/>
      <c r="Y170" s="4"/>
      <c r="Z170" s="4"/>
      <c r="AA170" s="4"/>
    </row>
    <row r="171" spans="1:27" ht="35" customHeight="1" thickTop="1" thickBot="1">
      <c r="A171" s="1014" t="s">
        <v>347</v>
      </c>
      <c r="B171" s="1015"/>
      <c r="C171" s="255"/>
      <c r="D171" s="255"/>
      <c r="E171" s="149"/>
      <c r="F171" s="149"/>
      <c r="G171" s="149"/>
      <c r="H171" s="149"/>
      <c r="I171" s="149"/>
      <c r="J171" s="149"/>
      <c r="K171" s="149"/>
      <c r="L171" s="149"/>
      <c r="M171" s="149"/>
      <c r="N171" s="149"/>
      <c r="O171" s="149"/>
      <c r="P171" s="149"/>
      <c r="Q171" s="149"/>
      <c r="R171" s="149"/>
      <c r="S171" s="149"/>
      <c r="T171" s="149"/>
      <c r="U171" s="149"/>
      <c r="V171" s="149"/>
      <c r="W171" s="4"/>
      <c r="X171" s="4"/>
      <c r="Y171" s="4"/>
      <c r="Z171" s="4"/>
      <c r="AA171" s="4"/>
    </row>
    <row r="172" spans="1:27">
      <c r="A172" s="150" t="s">
        <v>83</v>
      </c>
      <c r="B172" s="657">
        <f>IF(Inputs!E27="No","",Inputs!$D$16)</f>
        <v>0.18239999999999998</v>
      </c>
      <c r="C172" s="152" t="s">
        <v>193</v>
      </c>
      <c r="D172" s="255"/>
      <c r="E172" s="149"/>
      <c r="F172" s="149"/>
      <c r="G172" s="149"/>
      <c r="H172" s="149"/>
      <c r="I172" s="149"/>
      <c r="J172" s="149"/>
      <c r="K172" s="149"/>
      <c r="L172" s="149"/>
      <c r="M172" s="149"/>
      <c r="N172" s="149"/>
      <c r="O172" s="149"/>
      <c r="P172" s="149"/>
      <c r="Q172" s="149"/>
      <c r="R172" s="149"/>
      <c r="S172" s="149"/>
      <c r="T172" s="149"/>
      <c r="U172" s="149"/>
      <c r="V172" s="149"/>
      <c r="W172" s="4"/>
      <c r="X172" s="4"/>
      <c r="Y172" s="4"/>
      <c r="Z172" s="4"/>
      <c r="AA172" s="4"/>
    </row>
    <row r="173" spans="1:27">
      <c r="A173" s="150" t="s">
        <v>221</v>
      </c>
      <c r="B173" s="151">
        <f>'Regional Fuel Costs'!C49</f>
        <v>5.5999999999999999E-3</v>
      </c>
      <c r="C173" s="152" t="s">
        <v>193</v>
      </c>
      <c r="D173" s="255"/>
      <c r="E173" s="149"/>
      <c r="F173" s="149"/>
      <c r="G173" s="149"/>
      <c r="H173" s="149"/>
      <c r="I173" s="149"/>
      <c r="J173" s="149"/>
      <c r="K173" s="149"/>
      <c r="L173" s="149"/>
      <c r="M173" s="149"/>
      <c r="N173" s="149"/>
      <c r="O173" s="149"/>
      <c r="P173" s="149"/>
      <c r="Q173" s="149"/>
      <c r="R173" s="149"/>
      <c r="S173" s="149"/>
      <c r="T173" s="149"/>
      <c r="U173" s="149"/>
      <c r="V173" s="149"/>
      <c r="W173" s="4"/>
      <c r="X173" s="4"/>
      <c r="Y173" s="4"/>
      <c r="Z173" s="4"/>
      <c r="AA173" s="4"/>
    </row>
    <row r="174" spans="1:27" ht="16">
      <c r="A174" s="150" t="s">
        <v>412</v>
      </c>
      <c r="B174" s="658">
        <f>Inputs!$D$11</f>
        <v>12</v>
      </c>
      <c r="C174" s="154" t="s">
        <v>290</v>
      </c>
      <c r="D174" s="255"/>
      <c r="E174" s="149"/>
      <c r="F174" s="149"/>
      <c r="G174" s="149"/>
      <c r="H174" s="149"/>
      <c r="I174" s="149"/>
      <c r="J174" s="149"/>
      <c r="K174" s="149"/>
      <c r="L174" s="149"/>
      <c r="M174" s="149"/>
      <c r="N174" s="149"/>
      <c r="O174" s="149"/>
      <c r="P174" s="149"/>
      <c r="Q174" s="149"/>
      <c r="R174" s="149"/>
      <c r="S174" s="149"/>
      <c r="T174" s="149"/>
      <c r="U174" s="149"/>
      <c r="V174" s="149"/>
      <c r="W174" s="4"/>
      <c r="X174" s="4"/>
      <c r="Y174" s="4"/>
      <c r="Z174" s="4"/>
      <c r="AA174" s="4"/>
    </row>
    <row r="175" spans="1:27">
      <c r="A175" s="150" t="s">
        <v>188</v>
      </c>
      <c r="B175" s="658">
        <f>Inputs!K27</f>
        <v>3.5</v>
      </c>
      <c r="C175" s="155" t="s">
        <v>196</v>
      </c>
      <c r="D175" s="255"/>
      <c r="E175" s="149"/>
      <c r="F175" s="149"/>
      <c r="G175" s="149"/>
      <c r="H175" s="149"/>
      <c r="I175" s="149"/>
      <c r="J175" s="149"/>
      <c r="K175" s="149"/>
      <c r="L175" s="149"/>
      <c r="M175" s="149"/>
      <c r="N175" s="149"/>
      <c r="O175" s="149"/>
      <c r="P175" s="149"/>
      <c r="Q175" s="149"/>
      <c r="R175" s="149"/>
      <c r="S175" s="149"/>
      <c r="T175" s="149"/>
      <c r="U175" s="149"/>
      <c r="V175" s="149"/>
      <c r="W175" s="4"/>
      <c r="X175" s="4"/>
      <c r="Y175" s="4"/>
      <c r="Z175" s="4"/>
      <c r="AA175" s="4"/>
    </row>
    <row r="176" spans="1:27">
      <c r="A176" s="150" t="s">
        <v>187</v>
      </c>
      <c r="B176" s="156">
        <f>'System Efficiencies'!C4</f>
        <v>0.95</v>
      </c>
      <c r="C176" s="155" t="s">
        <v>196</v>
      </c>
      <c r="D176" s="255"/>
      <c r="E176" s="149"/>
      <c r="F176" s="149"/>
      <c r="G176" s="149"/>
      <c r="H176" s="149"/>
      <c r="I176" s="149"/>
      <c r="J176" s="149"/>
      <c r="K176" s="149"/>
      <c r="L176" s="149"/>
      <c r="M176" s="149"/>
      <c r="N176" s="149"/>
      <c r="O176" s="149"/>
      <c r="P176" s="149"/>
      <c r="Q176" s="149"/>
      <c r="R176" s="149"/>
      <c r="S176" s="149"/>
      <c r="T176" s="149"/>
      <c r="U176" s="149"/>
      <c r="V176" s="149"/>
      <c r="W176" s="4"/>
      <c r="X176" s="4"/>
      <c r="Y176" s="4"/>
      <c r="Z176" s="4"/>
      <c r="AA176" s="4"/>
    </row>
    <row r="177" spans="1:27">
      <c r="A177" s="150" t="s">
        <v>189</v>
      </c>
      <c r="B177" s="659">
        <f>B175*B176</f>
        <v>3.3249999999999997</v>
      </c>
      <c r="C177" s="155" t="s">
        <v>196</v>
      </c>
      <c r="D177" s="255"/>
      <c r="E177" s="149"/>
      <c r="F177" s="149"/>
      <c r="G177" s="149"/>
      <c r="H177" s="149"/>
      <c r="I177" s="149"/>
      <c r="J177" s="149"/>
      <c r="K177" s="149"/>
      <c r="L177" s="149"/>
      <c r="M177" s="149"/>
      <c r="N177" s="149"/>
      <c r="O177" s="149"/>
      <c r="P177" s="149"/>
      <c r="Q177" s="149"/>
      <c r="R177" s="149"/>
      <c r="S177" s="149"/>
      <c r="T177" s="149"/>
      <c r="U177" s="149"/>
      <c r="V177" s="149"/>
      <c r="W177" s="4"/>
      <c r="X177" s="4"/>
      <c r="Y177" s="4"/>
      <c r="Z177" s="4"/>
      <c r="AA177" s="4"/>
    </row>
    <row r="178" spans="1:27" ht="16">
      <c r="A178" s="256" t="s">
        <v>413</v>
      </c>
      <c r="B178" s="658">
        <f>IF(Inputs!C8="No",0,Inputs!$D$13)</f>
        <v>0</v>
      </c>
      <c r="C178" s="154" t="s">
        <v>290</v>
      </c>
      <c r="D178" s="255"/>
      <c r="E178" s="149"/>
      <c r="F178" s="149"/>
      <c r="G178" s="149"/>
      <c r="H178" s="149"/>
      <c r="I178" s="149"/>
      <c r="J178" s="149"/>
      <c r="K178" s="149"/>
      <c r="L178" s="149"/>
      <c r="M178" s="149"/>
      <c r="N178" s="149"/>
      <c r="O178" s="149"/>
      <c r="P178" s="149"/>
      <c r="Q178" s="149"/>
      <c r="R178" s="149"/>
      <c r="S178" s="149"/>
      <c r="T178" s="149"/>
      <c r="U178" s="149"/>
      <c r="V178" s="149"/>
      <c r="W178" s="4"/>
      <c r="X178" s="4"/>
      <c r="Y178" s="4"/>
      <c r="Z178" s="4"/>
      <c r="AA178" s="4"/>
    </row>
    <row r="179" spans="1:27">
      <c r="A179" s="256" t="s">
        <v>190</v>
      </c>
      <c r="B179" s="658" t="str">
        <f>Inputs!M27</f>
        <v>N/A</v>
      </c>
      <c r="C179" s="155" t="s">
        <v>196</v>
      </c>
      <c r="D179" s="255"/>
      <c r="E179" s="149"/>
      <c r="F179" s="149"/>
      <c r="G179" s="149"/>
      <c r="H179" s="149"/>
      <c r="I179" s="149"/>
      <c r="J179" s="149"/>
      <c r="K179" s="149"/>
      <c r="L179" s="149"/>
      <c r="M179" s="149"/>
      <c r="N179" s="149"/>
      <c r="O179" s="149"/>
      <c r="P179" s="149"/>
      <c r="Q179" s="149"/>
      <c r="R179" s="149"/>
      <c r="S179" s="149"/>
      <c r="T179" s="149"/>
      <c r="U179" s="149"/>
      <c r="V179" s="149"/>
      <c r="W179" s="4"/>
      <c r="X179" s="4"/>
      <c r="Y179" s="4"/>
      <c r="Z179" s="4"/>
      <c r="AA179" s="4"/>
    </row>
    <row r="180" spans="1:27">
      <c r="A180" s="256" t="s">
        <v>191</v>
      </c>
      <c r="B180" s="156">
        <f>'System Efficiencies'!C5</f>
        <v>0.95</v>
      </c>
      <c r="C180" s="155" t="s">
        <v>196</v>
      </c>
      <c r="D180" s="255"/>
      <c r="E180" s="149"/>
      <c r="F180" s="149"/>
      <c r="G180" s="149"/>
      <c r="H180" s="149"/>
      <c r="I180" s="149"/>
      <c r="J180" s="149"/>
      <c r="K180" s="149"/>
      <c r="L180" s="149"/>
      <c r="M180" s="149"/>
      <c r="N180" s="149"/>
      <c r="O180" s="149"/>
      <c r="P180" s="149"/>
      <c r="Q180" s="149"/>
      <c r="R180" s="149"/>
      <c r="S180" s="149"/>
      <c r="T180" s="149"/>
      <c r="U180" s="149"/>
      <c r="V180" s="149"/>
      <c r="W180" s="4"/>
      <c r="X180" s="4"/>
      <c r="Y180" s="4"/>
      <c r="Z180" s="4"/>
      <c r="AA180" s="4"/>
    </row>
    <row r="181" spans="1:27">
      <c r="A181" s="256" t="s">
        <v>192</v>
      </c>
      <c r="B181" s="659" t="e">
        <f>B179*B180</f>
        <v>#VALUE!</v>
      </c>
      <c r="C181" s="155" t="s">
        <v>196</v>
      </c>
      <c r="D181" s="255"/>
      <c r="E181" s="149"/>
      <c r="F181" s="149"/>
      <c r="G181" s="149"/>
      <c r="H181" s="149"/>
      <c r="I181" s="149"/>
      <c r="J181" s="149"/>
      <c r="K181" s="149"/>
      <c r="L181" s="149"/>
      <c r="M181" s="149"/>
      <c r="N181" s="149"/>
      <c r="O181" s="149"/>
      <c r="P181" s="149"/>
      <c r="Q181" s="149"/>
      <c r="R181" s="149"/>
      <c r="S181" s="149"/>
      <c r="T181" s="149"/>
      <c r="U181" s="149"/>
      <c r="V181" s="149"/>
      <c r="W181" s="4"/>
      <c r="X181" s="4"/>
      <c r="Y181" s="4"/>
      <c r="Z181" s="4"/>
      <c r="AA181" s="4"/>
    </row>
    <row r="182" spans="1:27" ht="16">
      <c r="A182" s="150" t="s">
        <v>82</v>
      </c>
      <c r="B182" s="658">
        <f>Inputs!I27</f>
        <v>282</v>
      </c>
      <c r="C182" s="157" t="s">
        <v>195</v>
      </c>
      <c r="D182" s="255"/>
      <c r="E182" s="149"/>
      <c r="F182" s="149"/>
      <c r="G182" s="149"/>
      <c r="H182" s="149"/>
      <c r="I182" s="149"/>
      <c r="J182" s="149"/>
      <c r="K182" s="149"/>
      <c r="L182" s="149"/>
      <c r="M182" s="149"/>
      <c r="N182" s="149"/>
      <c r="O182" s="149"/>
      <c r="P182" s="149"/>
      <c r="Q182" s="149"/>
      <c r="R182" s="257"/>
      <c r="S182" s="257"/>
      <c r="T182" s="257"/>
      <c r="U182" s="257"/>
      <c r="V182" s="258"/>
      <c r="W182" s="258"/>
      <c r="X182" s="258"/>
      <c r="Y182" s="258"/>
      <c r="Z182" s="258"/>
      <c r="AA182" s="258"/>
    </row>
    <row r="183" spans="1:27">
      <c r="A183" s="150" t="s">
        <v>81</v>
      </c>
      <c r="B183" s="153">
        <f>'Capital Cost Structure'!E34</f>
        <v>25</v>
      </c>
      <c r="C183" s="157" t="s">
        <v>195</v>
      </c>
      <c r="D183" s="255"/>
      <c r="E183" s="303" t="s">
        <v>286</v>
      </c>
      <c r="F183" s="149"/>
      <c r="G183" s="149"/>
      <c r="H183" s="149"/>
      <c r="I183" s="149"/>
      <c r="J183" s="149"/>
      <c r="K183" s="149"/>
      <c r="L183" s="149"/>
      <c r="M183" s="149"/>
      <c r="N183" s="149"/>
      <c r="O183" s="149"/>
      <c r="P183" s="149"/>
      <c r="Q183" s="149"/>
      <c r="R183" s="149"/>
      <c r="S183" s="149"/>
      <c r="T183" s="149"/>
      <c r="U183" s="149"/>
      <c r="V183" s="149"/>
      <c r="W183" s="4"/>
      <c r="X183" s="4"/>
      <c r="Y183" s="4"/>
      <c r="Z183" s="4"/>
      <c r="AA183" s="4"/>
    </row>
    <row r="184" spans="1:27">
      <c r="A184" s="150" t="s">
        <v>32</v>
      </c>
      <c r="B184" s="156">
        <f>$B$5</f>
        <v>0.05</v>
      </c>
      <c r="C184" s="248" t="s">
        <v>194</v>
      </c>
      <c r="D184" s="255"/>
      <c r="E184" s="149"/>
      <c r="F184" s="149"/>
      <c r="G184" s="149"/>
      <c r="H184" s="149"/>
      <c r="I184" s="149"/>
      <c r="J184" s="149"/>
      <c r="K184" s="149"/>
      <c r="L184" s="149"/>
      <c r="M184" s="149"/>
      <c r="N184" s="149"/>
      <c r="O184" s="149"/>
      <c r="P184" s="149"/>
      <c r="Q184" s="149"/>
      <c r="R184" s="149"/>
      <c r="S184" s="149"/>
      <c r="T184" s="149"/>
      <c r="U184" s="149"/>
      <c r="V184" s="149"/>
      <c r="W184" s="4"/>
      <c r="X184" s="4"/>
      <c r="Y184" s="4"/>
      <c r="Z184" s="4"/>
      <c r="AA184" s="4"/>
    </row>
    <row r="185" spans="1:27" ht="16" thickBot="1">
      <c r="A185" s="159" t="s">
        <v>405</v>
      </c>
      <c r="B185" s="547">
        <f>Inputs!F27</f>
        <v>0</v>
      </c>
      <c r="C185" s="249" t="s">
        <v>194</v>
      </c>
      <c r="D185" s="160"/>
      <c r="E185" s="161"/>
      <c r="F185" s="161"/>
      <c r="G185" s="161"/>
      <c r="H185" s="161"/>
      <c r="I185" s="161"/>
      <c r="J185" s="161"/>
      <c r="K185" s="161"/>
      <c r="L185" s="161"/>
      <c r="M185" s="161"/>
      <c r="N185" s="161"/>
      <c r="O185" s="161"/>
      <c r="P185" s="161"/>
      <c r="Q185" s="161"/>
      <c r="R185" s="161"/>
      <c r="S185" s="161"/>
      <c r="T185" s="161"/>
      <c r="U185" s="161"/>
      <c r="V185" s="161"/>
      <c r="W185" s="4"/>
      <c r="X185" s="4"/>
      <c r="Y185" s="4"/>
      <c r="Z185" s="4"/>
      <c r="AA185" s="4"/>
    </row>
    <row r="186" spans="1:27" ht="17" thickTop="1" thickBot="1">
      <c r="A186" s="6" t="s">
        <v>0</v>
      </c>
      <c r="B186" s="139" t="s">
        <v>51</v>
      </c>
      <c r="C186" s="117" t="s">
        <v>1</v>
      </c>
      <c r="D186" s="117" t="s">
        <v>2</v>
      </c>
      <c r="E186" s="117" t="s">
        <v>3</v>
      </c>
      <c r="F186" s="117" t="s">
        <v>4</v>
      </c>
      <c r="G186" s="117" t="s">
        <v>5</v>
      </c>
      <c r="H186" s="117" t="s">
        <v>6</v>
      </c>
      <c r="I186" s="117" t="s">
        <v>7</v>
      </c>
      <c r="J186" s="117" t="s">
        <v>8</v>
      </c>
      <c r="K186" s="117" t="s">
        <v>9</v>
      </c>
      <c r="L186" s="117" t="s">
        <v>10</v>
      </c>
      <c r="M186" s="117" t="s">
        <v>11</v>
      </c>
      <c r="N186" s="117" t="s">
        <v>12</v>
      </c>
      <c r="O186" s="117" t="s">
        <v>13</v>
      </c>
      <c r="P186" s="117" t="s">
        <v>14</v>
      </c>
      <c r="Q186" s="162" t="s">
        <v>15</v>
      </c>
      <c r="R186" s="139" t="s">
        <v>16</v>
      </c>
      <c r="S186" s="117" t="s">
        <v>17</v>
      </c>
      <c r="T186" s="117" t="s">
        <v>18</v>
      </c>
      <c r="U186" s="117" t="s">
        <v>19</v>
      </c>
      <c r="V186" s="163" t="s">
        <v>20</v>
      </c>
      <c r="W186" s="164" t="s">
        <v>93</v>
      </c>
      <c r="X186" s="165" t="s">
        <v>94</v>
      </c>
      <c r="Y186" s="165" t="s">
        <v>95</v>
      </c>
      <c r="Z186" s="165" t="s">
        <v>96</v>
      </c>
      <c r="AA186" s="166" t="s">
        <v>97</v>
      </c>
    </row>
    <row r="187" spans="1:27" ht="16">
      <c r="A187" s="167" t="s">
        <v>314</v>
      </c>
      <c r="B187" s="168">
        <f>B182*(1-Inputs!G27)</f>
        <v>282</v>
      </c>
      <c r="C187" s="169"/>
      <c r="D187" s="169"/>
      <c r="E187" s="169"/>
      <c r="F187" s="169"/>
      <c r="G187" s="169"/>
      <c r="H187" s="169"/>
      <c r="I187" s="169"/>
      <c r="J187" s="169"/>
      <c r="K187" s="169"/>
      <c r="L187" s="169"/>
      <c r="M187" s="169"/>
      <c r="N187" s="169"/>
      <c r="O187" s="169"/>
      <c r="P187" s="169"/>
      <c r="Q187" s="170"/>
      <c r="R187" s="171"/>
      <c r="S187" s="169"/>
      <c r="T187" s="169"/>
      <c r="U187" s="169"/>
      <c r="V187" s="172"/>
      <c r="W187" s="169"/>
      <c r="X187" s="169"/>
      <c r="Y187" s="169"/>
      <c r="Z187" s="169"/>
      <c r="AA187" s="173"/>
    </row>
    <row r="188" spans="1:27">
      <c r="A188" s="6" t="s">
        <v>270</v>
      </c>
      <c r="B188" s="139"/>
      <c r="C188" s="7"/>
      <c r="D188" s="7"/>
      <c r="E188" s="7"/>
      <c r="F188" s="7"/>
      <c r="G188" s="559" t="s">
        <v>158</v>
      </c>
      <c r="H188" s="560"/>
      <c r="I188" s="560"/>
      <c r="J188" s="560"/>
      <c r="K188" s="560"/>
      <c r="L188" s="559" t="s">
        <v>368</v>
      </c>
      <c r="M188" s="7"/>
      <c r="N188" s="7"/>
      <c r="O188" s="7"/>
      <c r="P188" s="7"/>
      <c r="Q188" s="162" t="s">
        <v>369</v>
      </c>
      <c r="R188" s="174"/>
      <c r="S188" s="7"/>
      <c r="T188" s="7"/>
      <c r="U188" s="7"/>
      <c r="V188" s="163" t="s">
        <v>368</v>
      </c>
      <c r="W188" s="7"/>
      <c r="X188" s="7"/>
      <c r="Y188" s="7"/>
      <c r="Z188" s="7"/>
      <c r="AA188" s="175"/>
    </row>
    <row r="189" spans="1:27" ht="16">
      <c r="A189" s="6" t="s">
        <v>38</v>
      </c>
      <c r="B189" s="139">
        <v>0</v>
      </c>
      <c r="C189" s="7"/>
      <c r="D189" s="7"/>
      <c r="E189" s="7"/>
      <c r="F189" s="7"/>
      <c r="G189" s="651">
        <f>('Capital Cost Structure'!F39*B182)</f>
        <v>14.100000000000001</v>
      </c>
      <c r="H189" s="7"/>
      <c r="I189" s="7"/>
      <c r="J189" s="7"/>
      <c r="K189" s="7"/>
      <c r="L189" s="651">
        <f>('Capital Cost Structure'!F39*B182)+('Capital Cost Structure'!F38*B182)</f>
        <v>28.200000000000003</v>
      </c>
      <c r="M189" s="7"/>
      <c r="N189" s="7"/>
      <c r="O189" s="7"/>
      <c r="P189" s="7"/>
      <c r="Q189" s="653">
        <f>('Capital Cost Structure'!F39*B182)+('Capital Cost Structure'!F40*B182)+('Capital Cost Structure'!F35*B182)</f>
        <v>112.8</v>
      </c>
      <c r="R189" s="174"/>
      <c r="S189" s="7"/>
      <c r="T189" s="7"/>
      <c r="U189" s="7"/>
      <c r="V189" s="653">
        <f>('Capital Cost Structure'!F39*B182)+('Capital Cost Structure'!F38*B182)</f>
        <v>28.200000000000003</v>
      </c>
      <c r="W189" s="7"/>
      <c r="X189" s="7"/>
      <c r="Y189" s="7"/>
      <c r="Z189" s="7"/>
      <c r="AA189" s="175"/>
    </row>
    <row r="190" spans="1:27">
      <c r="A190" s="6" t="s">
        <v>50</v>
      </c>
      <c r="B190" s="139">
        <f>B187</f>
        <v>282</v>
      </c>
      <c r="C190" s="177">
        <f>B190+C189-($B$187/$B$183)</f>
        <v>270.72000000000003</v>
      </c>
      <c r="D190" s="177">
        <f t="shared" ref="D190:AA190" si="52">C190+D189-($B$187/$B$183)</f>
        <v>259.44000000000005</v>
      </c>
      <c r="E190" s="177">
        <f t="shared" si="52"/>
        <v>248.16000000000005</v>
      </c>
      <c r="F190" s="177">
        <f t="shared" si="52"/>
        <v>236.88000000000005</v>
      </c>
      <c r="G190" s="177">
        <f t="shared" si="52"/>
        <v>239.70000000000005</v>
      </c>
      <c r="H190" s="177">
        <f t="shared" si="52"/>
        <v>228.42000000000004</v>
      </c>
      <c r="I190" s="177">
        <f t="shared" si="52"/>
        <v>217.14000000000004</v>
      </c>
      <c r="J190" s="177">
        <f t="shared" si="52"/>
        <v>205.86000000000004</v>
      </c>
      <c r="K190" s="177">
        <f t="shared" si="52"/>
        <v>194.58000000000004</v>
      </c>
      <c r="L190" s="177">
        <f t="shared" si="52"/>
        <v>211.50000000000003</v>
      </c>
      <c r="M190" s="177">
        <f t="shared" si="52"/>
        <v>200.22000000000003</v>
      </c>
      <c r="N190" s="177">
        <f t="shared" si="52"/>
        <v>188.94000000000003</v>
      </c>
      <c r="O190" s="177">
        <f t="shared" si="52"/>
        <v>177.66000000000003</v>
      </c>
      <c r="P190" s="177">
        <f t="shared" si="52"/>
        <v>166.38000000000002</v>
      </c>
      <c r="Q190" s="244">
        <f t="shared" si="52"/>
        <v>267.90000000000003</v>
      </c>
      <c r="R190" s="245">
        <f t="shared" si="52"/>
        <v>256.62000000000006</v>
      </c>
      <c r="S190" s="177">
        <f t="shared" si="52"/>
        <v>245.34000000000006</v>
      </c>
      <c r="T190" s="177">
        <f t="shared" si="52"/>
        <v>234.06000000000006</v>
      </c>
      <c r="U190" s="177">
        <f t="shared" si="52"/>
        <v>222.78000000000006</v>
      </c>
      <c r="V190" s="293">
        <f t="shared" si="52"/>
        <v>239.70000000000007</v>
      </c>
      <c r="W190" s="177">
        <f t="shared" si="52"/>
        <v>228.42000000000007</v>
      </c>
      <c r="X190" s="177">
        <f t="shared" si="52"/>
        <v>217.14000000000007</v>
      </c>
      <c r="Y190" s="177">
        <f t="shared" si="52"/>
        <v>205.86000000000007</v>
      </c>
      <c r="Z190" s="177">
        <f t="shared" si="52"/>
        <v>194.58000000000007</v>
      </c>
      <c r="AA190" s="178">
        <f t="shared" si="52"/>
        <v>183.30000000000007</v>
      </c>
    </row>
    <row r="191" spans="1:27" ht="16">
      <c r="A191" s="180" t="s">
        <v>22</v>
      </c>
      <c r="B191" s="183">
        <f>B187+B189+(B185/$B$4)</f>
        <v>282</v>
      </c>
      <c r="C191" s="181">
        <f t="shared" ref="C191:AA191" si="53">C187+C189</f>
        <v>0</v>
      </c>
      <c r="D191" s="181">
        <f t="shared" si="53"/>
        <v>0</v>
      </c>
      <c r="E191" s="181">
        <f t="shared" si="53"/>
        <v>0</v>
      </c>
      <c r="F191" s="181">
        <f t="shared" si="53"/>
        <v>0</v>
      </c>
      <c r="G191" s="181">
        <f t="shared" si="53"/>
        <v>14.100000000000001</v>
      </c>
      <c r="H191" s="181">
        <f t="shared" si="53"/>
        <v>0</v>
      </c>
      <c r="I191" s="181">
        <f t="shared" si="53"/>
        <v>0</v>
      </c>
      <c r="J191" s="181">
        <f t="shared" si="53"/>
        <v>0</v>
      </c>
      <c r="K191" s="181">
        <f t="shared" si="53"/>
        <v>0</v>
      </c>
      <c r="L191" s="181">
        <f>L187+L189</f>
        <v>28.200000000000003</v>
      </c>
      <c r="M191" s="181">
        <f t="shared" si="53"/>
        <v>0</v>
      </c>
      <c r="N191" s="181">
        <f t="shared" si="53"/>
        <v>0</v>
      </c>
      <c r="O191" s="181">
        <f t="shared" si="53"/>
        <v>0</v>
      </c>
      <c r="P191" s="181">
        <f t="shared" si="53"/>
        <v>0</v>
      </c>
      <c r="Q191" s="182">
        <f t="shared" si="53"/>
        <v>112.8</v>
      </c>
      <c r="R191" s="183">
        <f t="shared" si="53"/>
        <v>0</v>
      </c>
      <c r="S191" s="181">
        <f t="shared" si="53"/>
        <v>0</v>
      </c>
      <c r="T191" s="181">
        <f t="shared" si="53"/>
        <v>0</v>
      </c>
      <c r="U191" s="181">
        <f t="shared" si="53"/>
        <v>0</v>
      </c>
      <c r="V191" s="182">
        <f t="shared" si="53"/>
        <v>28.200000000000003</v>
      </c>
      <c r="W191" s="181">
        <f t="shared" si="53"/>
        <v>0</v>
      </c>
      <c r="X191" s="181">
        <f t="shared" si="53"/>
        <v>0</v>
      </c>
      <c r="Y191" s="181">
        <f t="shared" si="53"/>
        <v>0</v>
      </c>
      <c r="Z191" s="181">
        <f t="shared" si="53"/>
        <v>0</v>
      </c>
      <c r="AA191" s="182">
        <f t="shared" si="53"/>
        <v>0</v>
      </c>
    </row>
    <row r="192" spans="1:27" s="18" customFormat="1" ht="16" thickBot="1">
      <c r="A192" s="184" t="s">
        <v>87</v>
      </c>
      <c r="B192" s="185">
        <f>(B191*$B$4)</f>
        <v>282000</v>
      </c>
      <c r="C192" s="186">
        <f>C191*$B$4</f>
        <v>0</v>
      </c>
      <c r="D192" s="186">
        <f>D191*$B$4</f>
        <v>0</v>
      </c>
      <c r="E192" s="186">
        <f t="shared" ref="E192:V192" si="54">E191*$B$4</f>
        <v>0</v>
      </c>
      <c r="F192" s="186">
        <f t="shared" si="54"/>
        <v>0</v>
      </c>
      <c r="G192" s="186">
        <f>G191*$B$4</f>
        <v>14100.000000000002</v>
      </c>
      <c r="H192" s="186">
        <f t="shared" si="54"/>
        <v>0</v>
      </c>
      <c r="I192" s="186">
        <f t="shared" si="54"/>
        <v>0</v>
      </c>
      <c r="J192" s="186">
        <f t="shared" si="54"/>
        <v>0</v>
      </c>
      <c r="K192" s="186">
        <f t="shared" si="54"/>
        <v>0</v>
      </c>
      <c r="L192" s="186">
        <f t="shared" si="54"/>
        <v>28200.000000000004</v>
      </c>
      <c r="M192" s="186">
        <f t="shared" si="54"/>
        <v>0</v>
      </c>
      <c r="N192" s="186">
        <f t="shared" si="54"/>
        <v>0</v>
      </c>
      <c r="O192" s="186">
        <f t="shared" si="54"/>
        <v>0</v>
      </c>
      <c r="P192" s="186">
        <f t="shared" si="54"/>
        <v>0</v>
      </c>
      <c r="Q192" s="187">
        <f t="shared" si="54"/>
        <v>112800</v>
      </c>
      <c r="R192" s="185">
        <f t="shared" si="54"/>
        <v>0</v>
      </c>
      <c r="S192" s="186">
        <f t="shared" si="54"/>
        <v>0</v>
      </c>
      <c r="T192" s="186">
        <f t="shared" si="54"/>
        <v>0</v>
      </c>
      <c r="U192" s="186">
        <f t="shared" si="54"/>
        <v>0</v>
      </c>
      <c r="V192" s="188">
        <f t="shared" si="54"/>
        <v>28200.000000000004</v>
      </c>
      <c r="W192" s="186">
        <f>W191*$B$4</f>
        <v>0</v>
      </c>
      <c r="X192" s="186">
        <f>X191*$B$4</f>
        <v>0</v>
      </c>
      <c r="Y192" s="186">
        <f>Y191*$B$4</f>
        <v>0</v>
      </c>
      <c r="Z192" s="186">
        <f>Z191*$B$4</f>
        <v>0</v>
      </c>
      <c r="AA192" s="189">
        <f>AA191*$B$4</f>
        <v>0</v>
      </c>
    </row>
    <row r="193" spans="1:27">
      <c r="A193" s="6"/>
      <c r="B193" s="139"/>
      <c r="C193" s="7"/>
      <c r="D193" s="7"/>
      <c r="E193" s="7"/>
      <c r="F193" s="7"/>
      <c r="G193" s="7"/>
      <c r="H193" s="7"/>
      <c r="I193" s="7"/>
      <c r="J193" s="7"/>
      <c r="K193" s="7"/>
      <c r="L193" s="7"/>
      <c r="M193" s="7"/>
      <c r="N193" s="7"/>
      <c r="O193" s="7"/>
      <c r="P193" s="7"/>
      <c r="Q193" s="104"/>
      <c r="R193" s="174"/>
      <c r="S193" s="7"/>
      <c r="T193" s="7"/>
      <c r="U193" s="7"/>
      <c r="V193" s="179"/>
      <c r="W193" s="7"/>
      <c r="X193" s="7"/>
      <c r="Y193" s="7"/>
      <c r="Z193" s="7"/>
      <c r="AA193" s="175"/>
    </row>
    <row r="194" spans="1:27">
      <c r="A194" s="6" t="s">
        <v>21</v>
      </c>
      <c r="B194" s="139">
        <v>0</v>
      </c>
      <c r="C194" s="17">
        <v>0.01</v>
      </c>
      <c r="D194" s="17">
        <f>C194+(0.01/($B$183-1))</f>
        <v>1.0416666666666666E-2</v>
      </c>
      <c r="E194" s="17">
        <f t="shared" ref="E194:AA194" si="55">D194+(0.01/($B$183-1))</f>
        <v>1.0833333333333332E-2</v>
      </c>
      <c r="F194" s="17">
        <f t="shared" si="55"/>
        <v>1.1249999999999998E-2</v>
      </c>
      <c r="G194" s="17">
        <f t="shared" si="55"/>
        <v>1.1666666666666664E-2</v>
      </c>
      <c r="H194" s="17">
        <f t="shared" si="55"/>
        <v>1.208333333333333E-2</v>
      </c>
      <c r="I194" s="17">
        <f t="shared" si="55"/>
        <v>1.2499999999999995E-2</v>
      </c>
      <c r="J194" s="17">
        <f t="shared" si="55"/>
        <v>1.2916666666666661E-2</v>
      </c>
      <c r="K194" s="17">
        <f t="shared" si="55"/>
        <v>1.3333333333333327E-2</v>
      </c>
      <c r="L194" s="17">
        <f t="shared" si="55"/>
        <v>1.3749999999999993E-2</v>
      </c>
      <c r="M194" s="17">
        <f t="shared" si="55"/>
        <v>1.4166666666666659E-2</v>
      </c>
      <c r="N194" s="17">
        <f>M194+(0.01/($B$183-1))</f>
        <v>1.4583333333333325E-2</v>
      </c>
      <c r="O194" s="17">
        <f t="shared" si="55"/>
        <v>1.4999999999999991E-2</v>
      </c>
      <c r="P194" s="17">
        <f t="shared" si="55"/>
        <v>1.5416666666666657E-2</v>
      </c>
      <c r="Q194" s="190">
        <f t="shared" si="55"/>
        <v>1.5833333333333324E-2</v>
      </c>
      <c r="R194" s="304">
        <f t="shared" si="55"/>
        <v>1.624999999999999E-2</v>
      </c>
      <c r="S194" s="17">
        <f t="shared" si="55"/>
        <v>1.6666666666666656E-2</v>
      </c>
      <c r="T194" s="17">
        <f t="shared" si="55"/>
        <v>1.7083333333333322E-2</v>
      </c>
      <c r="U194" s="17">
        <f t="shared" si="55"/>
        <v>1.7499999999999988E-2</v>
      </c>
      <c r="V194" s="192">
        <f t="shared" si="55"/>
        <v>1.7916666666666654E-2</v>
      </c>
      <c r="W194" s="17">
        <f t="shared" si="55"/>
        <v>1.833333333333332E-2</v>
      </c>
      <c r="X194" s="17">
        <f t="shared" si="55"/>
        <v>1.8749999999999985E-2</v>
      </c>
      <c r="Y194" s="17">
        <f t="shared" si="55"/>
        <v>1.9166666666666651E-2</v>
      </c>
      <c r="Z194" s="17">
        <f t="shared" si="55"/>
        <v>1.9583333333333317E-2</v>
      </c>
      <c r="AA194" s="193">
        <f t="shared" si="55"/>
        <v>1.9999999999999983E-2</v>
      </c>
    </row>
    <row r="195" spans="1:27" ht="16">
      <c r="A195" s="180" t="s">
        <v>23</v>
      </c>
      <c r="B195" s="194">
        <f>B194*$B$182</f>
        <v>0</v>
      </c>
      <c r="C195" s="194">
        <f>C194*$B$182</f>
        <v>2.82</v>
      </c>
      <c r="D195" s="194">
        <f t="shared" ref="D195:Z195" si="56">D194*$B$182</f>
        <v>2.9375</v>
      </c>
      <c r="E195" s="194">
        <f t="shared" si="56"/>
        <v>3.0549999999999997</v>
      </c>
      <c r="F195" s="194">
        <f t="shared" si="56"/>
        <v>3.1724999999999994</v>
      </c>
      <c r="G195" s="194">
        <f t="shared" si="56"/>
        <v>3.2899999999999991</v>
      </c>
      <c r="H195" s="194">
        <f t="shared" si="56"/>
        <v>3.4074999999999989</v>
      </c>
      <c r="I195" s="194">
        <f t="shared" si="56"/>
        <v>3.5249999999999986</v>
      </c>
      <c r="J195" s="194">
        <f t="shared" si="56"/>
        <v>3.6424999999999983</v>
      </c>
      <c r="K195" s="194">
        <f t="shared" si="56"/>
        <v>3.7599999999999985</v>
      </c>
      <c r="L195" s="194">
        <f t="shared" si="56"/>
        <v>3.8774999999999982</v>
      </c>
      <c r="M195" s="194">
        <f t="shared" si="56"/>
        <v>3.9949999999999979</v>
      </c>
      <c r="N195" s="194">
        <f t="shared" si="56"/>
        <v>4.112499999999998</v>
      </c>
      <c r="O195" s="194">
        <f t="shared" si="56"/>
        <v>4.2299999999999978</v>
      </c>
      <c r="P195" s="194">
        <f t="shared" si="56"/>
        <v>4.3474999999999975</v>
      </c>
      <c r="Q195" s="195">
        <f t="shared" si="56"/>
        <v>4.4649999999999972</v>
      </c>
      <c r="R195" s="196">
        <f t="shared" si="56"/>
        <v>4.5824999999999969</v>
      </c>
      <c r="S195" s="194">
        <f t="shared" si="56"/>
        <v>4.6999999999999966</v>
      </c>
      <c r="T195" s="194">
        <f t="shared" si="56"/>
        <v>4.8174999999999963</v>
      </c>
      <c r="U195" s="194">
        <f t="shared" si="56"/>
        <v>4.9349999999999969</v>
      </c>
      <c r="V195" s="195">
        <f t="shared" si="56"/>
        <v>5.0524999999999967</v>
      </c>
      <c r="W195" s="194">
        <f t="shared" si="56"/>
        <v>5.1699999999999964</v>
      </c>
      <c r="X195" s="194">
        <f t="shared" si="56"/>
        <v>5.2874999999999961</v>
      </c>
      <c r="Y195" s="194">
        <f t="shared" si="56"/>
        <v>5.4049999999999958</v>
      </c>
      <c r="Z195" s="194">
        <f t="shared" si="56"/>
        <v>5.5224999999999955</v>
      </c>
      <c r="AA195" s="195">
        <f>AA194*$B$182</f>
        <v>5.6399999999999952</v>
      </c>
    </row>
    <row r="196" spans="1:27" s="24" customFormat="1" ht="16" thickBot="1">
      <c r="A196" s="197" t="s">
        <v>88</v>
      </c>
      <c r="B196" s="279">
        <f>B195*$B$4</f>
        <v>0</v>
      </c>
      <c r="C196" s="277">
        <f>C195*$B$4</f>
        <v>2820</v>
      </c>
      <c r="D196" s="277">
        <f t="shared" ref="D196:V196" si="57">D195*$B$4</f>
        <v>2937.5</v>
      </c>
      <c r="E196" s="277">
        <f t="shared" si="57"/>
        <v>3054.9999999999995</v>
      </c>
      <c r="F196" s="277">
        <f t="shared" si="57"/>
        <v>3172.4999999999995</v>
      </c>
      <c r="G196" s="277">
        <f t="shared" si="57"/>
        <v>3289.9999999999991</v>
      </c>
      <c r="H196" s="277">
        <f t="shared" si="57"/>
        <v>3407.4999999999991</v>
      </c>
      <c r="I196" s="277">
        <f t="shared" si="57"/>
        <v>3524.9999999999986</v>
      </c>
      <c r="J196" s="277">
        <f t="shared" si="57"/>
        <v>3642.4999999999982</v>
      </c>
      <c r="K196" s="277">
        <f t="shared" si="57"/>
        <v>3759.9999999999986</v>
      </c>
      <c r="L196" s="277">
        <f t="shared" si="57"/>
        <v>3877.4999999999982</v>
      </c>
      <c r="M196" s="277">
        <f t="shared" si="57"/>
        <v>3994.9999999999977</v>
      </c>
      <c r="N196" s="277">
        <f t="shared" si="57"/>
        <v>4112.4999999999982</v>
      </c>
      <c r="O196" s="277">
        <f t="shared" si="57"/>
        <v>4229.9999999999982</v>
      </c>
      <c r="P196" s="277">
        <f t="shared" si="57"/>
        <v>4347.4999999999973</v>
      </c>
      <c r="Q196" s="278">
        <f t="shared" si="57"/>
        <v>4464.9999999999973</v>
      </c>
      <c r="R196" s="279">
        <f t="shared" si="57"/>
        <v>4582.4999999999973</v>
      </c>
      <c r="S196" s="277">
        <f t="shared" si="57"/>
        <v>4699.9999999999964</v>
      </c>
      <c r="T196" s="277">
        <f t="shared" si="57"/>
        <v>4817.4999999999964</v>
      </c>
      <c r="U196" s="277">
        <f t="shared" si="57"/>
        <v>4934.9999999999973</v>
      </c>
      <c r="V196" s="280">
        <f t="shared" si="57"/>
        <v>5052.4999999999964</v>
      </c>
      <c r="W196" s="277">
        <f>W195*$B$4</f>
        <v>5169.9999999999964</v>
      </c>
      <c r="X196" s="277">
        <f>X195*$B$4</f>
        <v>5287.4999999999964</v>
      </c>
      <c r="Y196" s="277">
        <f>Y195*$B$4</f>
        <v>5404.9999999999955</v>
      </c>
      <c r="Z196" s="277">
        <f>Z195*$B$4</f>
        <v>5522.4999999999955</v>
      </c>
      <c r="AA196" s="281">
        <f>AA195*$B$4</f>
        <v>5639.9999999999955</v>
      </c>
    </row>
    <row r="197" spans="1:27">
      <c r="A197" s="199"/>
      <c r="B197" s="174"/>
      <c r="C197" s="7"/>
      <c r="D197" s="7"/>
      <c r="E197" s="7"/>
      <c r="F197" s="7"/>
      <c r="G197" s="7"/>
      <c r="H197" s="7"/>
      <c r="I197" s="7"/>
      <c r="J197" s="7"/>
      <c r="K197" s="7"/>
      <c r="L197" s="7"/>
      <c r="M197" s="7"/>
      <c r="N197" s="7"/>
      <c r="O197" s="7"/>
      <c r="P197" s="7"/>
      <c r="Q197" s="104"/>
      <c r="R197" s="174"/>
      <c r="S197" s="7"/>
      <c r="T197" s="7"/>
      <c r="U197" s="7"/>
      <c r="V197" s="179"/>
      <c r="W197" s="7"/>
      <c r="X197" s="7"/>
      <c r="Y197" s="7"/>
      <c r="Z197" s="7"/>
      <c r="AA197" s="175"/>
    </row>
    <row r="198" spans="1:27">
      <c r="A198" s="6" t="s">
        <v>25</v>
      </c>
      <c r="B198" s="139">
        <v>0</v>
      </c>
      <c r="C198" s="259">
        <f>B172</f>
        <v>0.18239999999999998</v>
      </c>
      <c r="D198" s="259">
        <f t="shared" ref="D198:AA198" si="58">C198+C199</f>
        <v>0.18342143999999999</v>
      </c>
      <c r="E198" s="259">
        <f t="shared" si="58"/>
        <v>0.18444860006399999</v>
      </c>
      <c r="F198" s="259">
        <f t="shared" si="58"/>
        <v>0.18548151222435838</v>
      </c>
      <c r="G198" s="259">
        <f t="shared" si="58"/>
        <v>0.1865202086928148</v>
      </c>
      <c r="H198" s="259">
        <f t="shared" si="58"/>
        <v>0.18756472186149456</v>
      </c>
      <c r="I198" s="259">
        <f t="shared" si="58"/>
        <v>0.18861508430391893</v>
      </c>
      <c r="J198" s="259">
        <f t="shared" si="58"/>
        <v>0.18967132877602089</v>
      </c>
      <c r="K198" s="259">
        <f t="shared" si="58"/>
        <v>0.1907334882171666</v>
      </c>
      <c r="L198" s="259">
        <f t="shared" si="58"/>
        <v>0.19180159575118272</v>
      </c>
      <c r="M198" s="259">
        <f t="shared" si="58"/>
        <v>0.19287568468738933</v>
      </c>
      <c r="N198" s="259">
        <f>M198+M199</f>
        <v>0.19395578852163872</v>
      </c>
      <c r="O198" s="259">
        <f t="shared" si="58"/>
        <v>0.19504194093735991</v>
      </c>
      <c r="P198" s="259">
        <f t="shared" si="58"/>
        <v>0.19613417580660913</v>
      </c>
      <c r="Q198" s="105">
        <f t="shared" si="58"/>
        <v>0.19723252719112613</v>
      </c>
      <c r="R198" s="260">
        <f t="shared" si="58"/>
        <v>0.19833702934339645</v>
      </c>
      <c r="S198" s="259">
        <f t="shared" si="58"/>
        <v>0.19944771670771946</v>
      </c>
      <c r="T198" s="259">
        <f t="shared" si="58"/>
        <v>0.20056462392128269</v>
      </c>
      <c r="U198" s="259">
        <f t="shared" si="58"/>
        <v>0.20168778581524188</v>
      </c>
      <c r="V198" s="261">
        <f t="shared" si="58"/>
        <v>0.20281723741580723</v>
      </c>
      <c r="W198" s="259">
        <f t="shared" si="58"/>
        <v>0.20395301394533574</v>
      </c>
      <c r="X198" s="259">
        <f t="shared" si="58"/>
        <v>0.20509515082342963</v>
      </c>
      <c r="Y198" s="259">
        <f t="shared" si="58"/>
        <v>0.20624368366804083</v>
      </c>
      <c r="Z198" s="259">
        <f t="shared" si="58"/>
        <v>0.20739864829658186</v>
      </c>
      <c r="AA198" s="262">
        <f t="shared" si="58"/>
        <v>0.20856008072704271</v>
      </c>
    </row>
    <row r="199" spans="1:27">
      <c r="A199" s="6" t="s">
        <v>248</v>
      </c>
      <c r="B199" s="139"/>
      <c r="C199" s="259">
        <f>C198*$B$173</f>
        <v>1.02144E-3</v>
      </c>
      <c r="D199" s="259">
        <f>D198*$B$173</f>
        <v>1.027160064E-3</v>
      </c>
      <c r="E199" s="259">
        <f>E198*$B$173</f>
        <v>1.0329121603583999E-3</v>
      </c>
      <c r="F199" s="259">
        <f>F198*$B$173</f>
        <v>1.0386964684564069E-3</v>
      </c>
      <c r="G199" s="259">
        <f t="shared" ref="G199:AA199" si="59">G198*$B$173</f>
        <v>1.0445131686797628E-3</v>
      </c>
      <c r="H199" s="259">
        <f t="shared" si="59"/>
        <v>1.0503624424243695E-3</v>
      </c>
      <c r="I199" s="259">
        <f t="shared" si="59"/>
        <v>1.0562444721019461E-3</v>
      </c>
      <c r="J199" s="259">
        <f t="shared" si="59"/>
        <v>1.062159441145717E-3</v>
      </c>
      <c r="K199" s="259">
        <f t="shared" si="59"/>
        <v>1.068107534016133E-3</v>
      </c>
      <c r="L199" s="259">
        <f t="shared" si="59"/>
        <v>1.0740889362066232E-3</v>
      </c>
      <c r="M199" s="259">
        <f t="shared" si="59"/>
        <v>1.0801038342493803E-3</v>
      </c>
      <c r="N199" s="259">
        <f t="shared" si="59"/>
        <v>1.0861524157211768E-3</v>
      </c>
      <c r="O199" s="259">
        <f t="shared" si="59"/>
        <v>1.0922348692492154E-3</v>
      </c>
      <c r="P199" s="259">
        <f t="shared" si="59"/>
        <v>1.0983513845170111E-3</v>
      </c>
      <c r="Q199" s="105">
        <f t="shared" si="59"/>
        <v>1.1045021522703064E-3</v>
      </c>
      <c r="R199" s="260">
        <f t="shared" si="59"/>
        <v>1.1106873643230201E-3</v>
      </c>
      <c r="S199" s="259">
        <f t="shared" si="59"/>
        <v>1.116907213563229E-3</v>
      </c>
      <c r="T199" s="259">
        <f t="shared" si="59"/>
        <v>1.1231618939591831E-3</v>
      </c>
      <c r="U199" s="259">
        <f t="shared" si="59"/>
        <v>1.1294516005653545E-3</v>
      </c>
      <c r="V199" s="261">
        <f t="shared" si="59"/>
        <v>1.1357765295285204E-3</v>
      </c>
      <c r="W199" s="259">
        <f t="shared" si="59"/>
        <v>1.1421368780938801E-3</v>
      </c>
      <c r="X199" s="259">
        <f t="shared" si="59"/>
        <v>1.1485328446112059E-3</v>
      </c>
      <c r="Y199" s="259">
        <f t="shared" si="59"/>
        <v>1.1549646285410285E-3</v>
      </c>
      <c r="Z199" s="259">
        <f t="shared" si="59"/>
        <v>1.1614324304608584E-3</v>
      </c>
      <c r="AA199" s="262">
        <f t="shared" si="59"/>
        <v>1.1679364520714392E-3</v>
      </c>
    </row>
    <row r="200" spans="1:27" ht="16">
      <c r="A200" s="180" t="s">
        <v>24</v>
      </c>
      <c r="B200" s="194">
        <f>B198*(($B$174*(1/$B$177))+IF(ISERROR($B$181),0,($B$178*(1/$B$181))))</f>
        <v>0</v>
      </c>
      <c r="C200" s="194">
        <f>C198*(($B$174*(1/$B$177))+IF(ISERROR($B$181),0,($B$178*(1/$B$181))))</f>
        <v>0.65828571428571436</v>
      </c>
      <c r="D200" s="194">
        <f t="shared" ref="D200:AA200" si="60">D198*(($B$174*(1/$B$177))+IF(ISERROR($B$181),0,($B$178*(1/$B$181))))</f>
        <v>0.66197211428571434</v>
      </c>
      <c r="E200" s="194">
        <f t="shared" si="60"/>
        <v>0.66567915812571443</v>
      </c>
      <c r="F200" s="194">
        <f t="shared" si="60"/>
        <v>0.66940696141121836</v>
      </c>
      <c r="G200" s="194">
        <f t="shared" si="60"/>
        <v>0.67315564039512121</v>
      </c>
      <c r="H200" s="194">
        <f t="shared" si="60"/>
        <v>0.67692531198133388</v>
      </c>
      <c r="I200" s="194">
        <f t="shared" si="60"/>
        <v>0.68071609372842934</v>
      </c>
      <c r="J200" s="194">
        <f t="shared" si="60"/>
        <v>0.68452810385330864</v>
      </c>
      <c r="K200" s="194">
        <f t="shared" si="60"/>
        <v>0.68836146123488706</v>
      </c>
      <c r="L200" s="194">
        <f t="shared" si="60"/>
        <v>0.69221628541780245</v>
      </c>
      <c r="M200" s="194">
        <f t="shared" si="60"/>
        <v>0.69609269661614204</v>
      </c>
      <c r="N200" s="194">
        <f t="shared" si="60"/>
        <v>0.69999081571719246</v>
      </c>
      <c r="O200" s="194">
        <f t="shared" si="60"/>
        <v>0.70391076428520882</v>
      </c>
      <c r="P200" s="194">
        <f t="shared" si="60"/>
        <v>0.70785266456520601</v>
      </c>
      <c r="Q200" s="195">
        <f t="shared" si="60"/>
        <v>0.7118166394867711</v>
      </c>
      <c r="R200" s="196">
        <f t="shared" si="60"/>
        <v>0.71580281266789714</v>
      </c>
      <c r="S200" s="194">
        <f t="shared" si="60"/>
        <v>0.71981130841883734</v>
      </c>
      <c r="T200" s="194">
        <f t="shared" si="60"/>
        <v>0.72384225174598271</v>
      </c>
      <c r="U200" s="194">
        <f t="shared" si="60"/>
        <v>0.72789576835576031</v>
      </c>
      <c r="V200" s="195">
        <f t="shared" si="60"/>
        <v>0.73197198465855251</v>
      </c>
      <c r="W200" s="194">
        <f t="shared" si="60"/>
        <v>0.73607102777264044</v>
      </c>
      <c r="X200" s="194">
        <f t="shared" si="60"/>
        <v>0.74019302552816724</v>
      </c>
      <c r="Y200" s="194">
        <f t="shared" si="60"/>
        <v>0.74433810647112497</v>
      </c>
      <c r="Z200" s="194">
        <f t="shared" si="60"/>
        <v>0.74850639986736323</v>
      </c>
      <c r="AA200" s="195">
        <f t="shared" si="60"/>
        <v>0.75269803570662042</v>
      </c>
    </row>
    <row r="201" spans="1:27" s="24" customFormat="1" ht="16" thickBot="1">
      <c r="A201" s="197" t="s">
        <v>89</v>
      </c>
      <c r="B201" s="288">
        <f>B200*$B$4</f>
        <v>0</v>
      </c>
      <c r="C201" s="277">
        <f>C200*$B$4</f>
        <v>658.28571428571433</v>
      </c>
      <c r="D201" s="277">
        <f>D200*$B$4</f>
        <v>661.97211428571438</v>
      </c>
      <c r="E201" s="277">
        <f t="shared" ref="E201:V201" si="61">E200*$B$4</f>
        <v>665.67915812571448</v>
      </c>
      <c r="F201" s="277">
        <f t="shared" si="61"/>
        <v>669.40696141121839</v>
      </c>
      <c r="G201" s="277">
        <f t="shared" si="61"/>
        <v>673.15564039512117</v>
      </c>
      <c r="H201" s="277">
        <f t="shared" si="61"/>
        <v>676.92531198133383</v>
      </c>
      <c r="I201" s="277">
        <f>I200*$B$4</f>
        <v>680.71609372842931</v>
      </c>
      <c r="J201" s="277">
        <f t="shared" si="61"/>
        <v>684.52810385330861</v>
      </c>
      <c r="K201" s="277">
        <f t="shared" si="61"/>
        <v>688.36146123488709</v>
      </c>
      <c r="L201" s="277">
        <f t="shared" si="61"/>
        <v>692.2162854178024</v>
      </c>
      <c r="M201" s="277">
        <f t="shared" si="61"/>
        <v>696.09269661614201</v>
      </c>
      <c r="N201" s="277">
        <f t="shared" si="61"/>
        <v>699.9908157171925</v>
      </c>
      <c r="O201" s="277">
        <f t="shared" si="61"/>
        <v>703.91076428520887</v>
      </c>
      <c r="P201" s="277">
        <f t="shared" si="61"/>
        <v>707.85266456520606</v>
      </c>
      <c r="Q201" s="278">
        <f t="shared" si="61"/>
        <v>711.81663948677112</v>
      </c>
      <c r="R201" s="279">
        <f t="shared" si="61"/>
        <v>715.80281266789711</v>
      </c>
      <c r="S201" s="277">
        <f t="shared" si="61"/>
        <v>719.81130841883737</v>
      </c>
      <c r="T201" s="277">
        <f t="shared" si="61"/>
        <v>723.84225174598271</v>
      </c>
      <c r="U201" s="277">
        <f t="shared" si="61"/>
        <v>727.89576835576031</v>
      </c>
      <c r="V201" s="280">
        <f t="shared" si="61"/>
        <v>731.97198465855251</v>
      </c>
      <c r="W201" s="277">
        <f>W200*$B$4</f>
        <v>736.07102777264049</v>
      </c>
      <c r="X201" s="277">
        <f>X200*$B$4</f>
        <v>740.19302552816725</v>
      </c>
      <c r="Y201" s="277">
        <f>Y200*$B$4</f>
        <v>744.338106471125</v>
      </c>
      <c r="Z201" s="277">
        <f>Z200*$B$4</f>
        <v>748.50639986736326</v>
      </c>
      <c r="AA201" s="281">
        <f>AA200*$B$4</f>
        <v>752.69803570662043</v>
      </c>
    </row>
    <row r="202" spans="1:27" s="24" customFormat="1">
      <c r="A202" s="167"/>
      <c r="B202" s="168"/>
      <c r="C202" s="169"/>
      <c r="D202" s="169"/>
      <c r="E202" s="169"/>
      <c r="F202" s="169"/>
      <c r="G202" s="169"/>
      <c r="H202" s="169"/>
      <c r="I202" s="169"/>
      <c r="J202" s="169"/>
      <c r="K202" s="169"/>
      <c r="L202" s="169"/>
      <c r="M202" s="169"/>
      <c r="N202" s="169"/>
      <c r="O202" s="169"/>
      <c r="P202" s="169"/>
      <c r="Q202" s="170"/>
      <c r="R202" s="171"/>
      <c r="S202" s="169"/>
      <c r="T202" s="169"/>
      <c r="U202" s="169"/>
      <c r="V202" s="172"/>
      <c r="W202" s="169"/>
      <c r="X202" s="169"/>
      <c r="Y202" s="169"/>
      <c r="Z202" s="169"/>
      <c r="AA202" s="173"/>
    </row>
    <row r="203" spans="1:27" ht="16">
      <c r="A203" s="6" t="s">
        <v>34</v>
      </c>
      <c r="B203" s="291">
        <f>B191+B195+B200</f>
        <v>282</v>
      </c>
      <c r="C203" s="118">
        <f>C191+C195+C200</f>
        <v>3.4782857142857142</v>
      </c>
      <c r="D203" s="118">
        <f>D191+D195+D200</f>
        <v>3.5994721142857142</v>
      </c>
      <c r="E203" s="118">
        <f t="shared" ref="E203:Q203" si="62">E191+E195+E200</f>
        <v>3.7206791581257139</v>
      </c>
      <c r="F203" s="118">
        <f t="shared" si="62"/>
        <v>3.841906961411218</v>
      </c>
      <c r="G203" s="118">
        <f>G191+G195+G200</f>
        <v>18.06315564039512</v>
      </c>
      <c r="H203" s="118">
        <f t="shared" si="62"/>
        <v>4.0844253119813327</v>
      </c>
      <c r="I203" s="118">
        <f t="shared" si="62"/>
        <v>4.2057160937284284</v>
      </c>
      <c r="J203" s="118">
        <f>J191+J195+J200</f>
        <v>4.3270281038533067</v>
      </c>
      <c r="K203" s="118">
        <f t="shared" si="62"/>
        <v>4.4483614612348852</v>
      </c>
      <c r="L203" s="118">
        <f t="shared" si="62"/>
        <v>32.7697162854178</v>
      </c>
      <c r="M203" s="118">
        <f t="shared" si="62"/>
        <v>4.6910926966161401</v>
      </c>
      <c r="N203" s="118">
        <f t="shared" si="62"/>
        <v>4.8124908157171902</v>
      </c>
      <c r="O203" s="118">
        <f t="shared" si="62"/>
        <v>4.9339107642852067</v>
      </c>
      <c r="P203" s="118">
        <f t="shared" si="62"/>
        <v>5.0553526645652038</v>
      </c>
      <c r="Q203" s="202">
        <f t="shared" si="62"/>
        <v>117.97681663948677</v>
      </c>
      <c r="R203" s="136">
        <f t="shared" ref="R203:AA203" si="63">R191+R195+R200</f>
        <v>5.2983028126678944</v>
      </c>
      <c r="S203" s="118">
        <f t="shared" si="63"/>
        <v>5.4198113084188337</v>
      </c>
      <c r="T203" s="118">
        <f t="shared" si="63"/>
        <v>5.5413422517459789</v>
      </c>
      <c r="U203" s="118">
        <f t="shared" si="63"/>
        <v>5.6628957683557575</v>
      </c>
      <c r="V203" s="203">
        <f t="shared" si="63"/>
        <v>33.984471984658548</v>
      </c>
      <c r="W203" s="118">
        <f t="shared" si="63"/>
        <v>5.9060710277726365</v>
      </c>
      <c r="X203" s="118">
        <f t="shared" si="63"/>
        <v>6.0276930255281638</v>
      </c>
      <c r="Y203" s="118">
        <f t="shared" si="63"/>
        <v>6.149338106471121</v>
      </c>
      <c r="Z203" s="118">
        <f t="shared" si="63"/>
        <v>6.2710063998673586</v>
      </c>
      <c r="AA203" s="204">
        <f t="shared" si="63"/>
        <v>6.3926980357066157</v>
      </c>
    </row>
    <row r="204" spans="1:27" ht="16" thickBot="1">
      <c r="A204" s="135" t="s">
        <v>35</v>
      </c>
      <c r="B204" s="243">
        <f>($B$4*B203)</f>
        <v>282000</v>
      </c>
      <c r="C204" s="243">
        <f>$B$4*C203</f>
        <v>3478.2857142857142</v>
      </c>
      <c r="D204" s="243">
        <f>$B$4*D203</f>
        <v>3599.4721142857143</v>
      </c>
      <c r="E204" s="243">
        <f t="shared" ref="E204:V204" si="64">$B$4*E203</f>
        <v>3720.6791581257139</v>
      </c>
      <c r="F204" s="243">
        <f t="shared" si="64"/>
        <v>3841.9069614112182</v>
      </c>
      <c r="G204" s="243">
        <f t="shared" si="64"/>
        <v>18063.155640395122</v>
      </c>
      <c r="H204" s="243">
        <f t="shared" si="64"/>
        <v>4084.4253119813329</v>
      </c>
      <c r="I204" s="243">
        <f t="shared" si="64"/>
        <v>4205.7160937284279</v>
      </c>
      <c r="J204" s="243">
        <f>$B$4*J203</f>
        <v>4327.0281038533067</v>
      </c>
      <c r="K204" s="243">
        <f t="shared" si="64"/>
        <v>4448.3614612348856</v>
      </c>
      <c r="L204" s="243">
        <f t="shared" si="64"/>
        <v>32769.716285417802</v>
      </c>
      <c r="M204" s="243">
        <f t="shared" si="64"/>
        <v>4691.0926966161405</v>
      </c>
      <c r="N204" s="243">
        <f t="shared" si="64"/>
        <v>4812.4908157171903</v>
      </c>
      <c r="O204" s="243">
        <f t="shared" si="64"/>
        <v>4933.9107642852068</v>
      </c>
      <c r="P204" s="243">
        <f t="shared" si="64"/>
        <v>5055.3526645652037</v>
      </c>
      <c r="Q204" s="250">
        <f t="shared" si="64"/>
        <v>117976.81663948677</v>
      </c>
      <c r="R204" s="251">
        <f t="shared" si="64"/>
        <v>5298.3028126678946</v>
      </c>
      <c r="S204" s="243">
        <f t="shared" si="64"/>
        <v>5419.8113084188335</v>
      </c>
      <c r="T204" s="243">
        <f t="shared" si="64"/>
        <v>5541.3422517459785</v>
      </c>
      <c r="U204" s="243">
        <f t="shared" si="64"/>
        <v>5662.8957683557574</v>
      </c>
      <c r="V204" s="265">
        <f t="shared" si="64"/>
        <v>33984.47198465855</v>
      </c>
      <c r="W204" s="243">
        <f>$B$4*W203</f>
        <v>5906.0710277726366</v>
      </c>
      <c r="X204" s="243">
        <f>$B$4*X203</f>
        <v>6027.6930255281641</v>
      </c>
      <c r="Y204" s="243">
        <f>$B$4*Y203</f>
        <v>6149.3381064711211</v>
      </c>
      <c r="Z204" s="243">
        <f>$B$4*Z203</f>
        <v>6271.0063998673586</v>
      </c>
      <c r="AA204" s="32">
        <f>$B$4*AA203</f>
        <v>6392.6980357066159</v>
      </c>
    </row>
    <row r="205" spans="1:27" ht="17" thickTop="1" thickBot="1">
      <c r="A205" s="236"/>
      <c r="B205" s="28" t="s">
        <v>98</v>
      </c>
      <c r="C205" s="29" t="s">
        <v>91</v>
      </c>
      <c r="D205" s="30" t="s">
        <v>92</v>
      </c>
      <c r="E205"/>
      <c r="F205"/>
      <c r="G205"/>
      <c r="H205"/>
      <c r="I205"/>
      <c r="J205"/>
      <c r="K205" s="205"/>
      <c r="L205" s="205"/>
      <c r="M205" s="205"/>
      <c r="N205" s="263"/>
      <c r="O205" s="263"/>
      <c r="P205" s="263"/>
      <c r="Q205" s="263"/>
      <c r="R205" s="263"/>
      <c r="S205" s="263"/>
      <c r="T205" s="263"/>
      <c r="U205" s="263"/>
      <c r="V205" s="263"/>
      <c r="W205" s="263"/>
      <c r="X205" s="263"/>
      <c r="Y205" s="263"/>
      <c r="Z205" s="263"/>
      <c r="AA205" s="263"/>
    </row>
    <row r="206" spans="1:27" ht="16">
      <c r="A206" s="6" t="s">
        <v>36</v>
      </c>
      <c r="B206" s="206">
        <f>NPV($B$5,C203,D203:Q203)+B203-(Q190/((1+B184)^15))</f>
        <v>279.53274883848184</v>
      </c>
      <c r="C206" s="207">
        <f>NPV($B$5,C203,D203:V203)+B203-(V190/((1+B184)^20))</f>
        <v>340.2006120431007</v>
      </c>
      <c r="D206" s="31">
        <f>NPV($B$5,C203,D203:AA203)+B203-(AA190/((1+B184)^25))</f>
        <v>386.42679555518851</v>
      </c>
      <c r="E206"/>
      <c r="F206"/>
      <c r="G206"/>
      <c r="H206"/>
      <c r="I206"/>
      <c r="J206"/>
      <c r="K206" s="5"/>
      <c r="L206" s="5"/>
      <c r="M206" s="5"/>
      <c r="N206" s="5"/>
      <c r="O206" s="5"/>
      <c r="P206" s="5"/>
      <c r="Q206" s="5"/>
      <c r="R206" s="5"/>
      <c r="S206" s="5"/>
      <c r="T206" s="5"/>
      <c r="U206" s="5"/>
      <c r="V206" s="5"/>
      <c r="W206" s="5"/>
      <c r="X206" s="4"/>
      <c r="Y206" s="4"/>
      <c r="Z206" s="4"/>
      <c r="AA206" s="4"/>
    </row>
    <row r="207" spans="1:27">
      <c r="A207" s="264" t="s">
        <v>37</v>
      </c>
      <c r="B207" s="210">
        <f>(NPV(B184,C204,D204:Q204))+B204-(Q190*$B$4/(1+B184)^15)</f>
        <v>279532.74883848184</v>
      </c>
      <c r="C207" s="211">
        <f>(NPV(B184,C204,D204:V204))+B204-(V190*$B$4/(1+B184)^20)</f>
        <v>340200.61204310064</v>
      </c>
      <c r="D207" s="212">
        <f>(NPV(B184,C204,D204:AA204))+B204-(AA190*$B$4/(1+B184)^25)</f>
        <v>386426.79555518844</v>
      </c>
      <c r="E207"/>
      <c r="F207"/>
      <c r="G207"/>
      <c r="H207"/>
      <c r="I207"/>
      <c r="J207"/>
      <c r="K207" s="23"/>
      <c r="L207" s="23"/>
      <c r="M207" s="23"/>
      <c r="N207" s="23"/>
      <c r="O207" s="23"/>
      <c r="P207" s="23"/>
      <c r="Q207" s="23"/>
      <c r="R207" s="23"/>
      <c r="S207" s="23"/>
      <c r="T207" s="23"/>
      <c r="U207" s="23"/>
      <c r="V207" s="23"/>
      <c r="W207" s="23"/>
      <c r="X207" s="4"/>
      <c r="Y207" s="4"/>
      <c r="Z207" s="4"/>
      <c r="AA207" s="4"/>
    </row>
    <row r="208" spans="1:27">
      <c r="A208" s="209" t="s">
        <v>85</v>
      </c>
      <c r="B208" s="210">
        <f>NPV(B184,C192,D192:Q192)+B192-(Q190*$B$4/(1+B184)^15)</f>
        <v>235754.32078314517</v>
      </c>
      <c r="C208" s="211">
        <f>NPV(B184,C192,D192:V192)+B192-(V190*$B$4/(1+B184)^20)</f>
        <v>284906.67573407642</v>
      </c>
      <c r="D208" s="212">
        <f>NPV(B184,C192,D192:AA192)+B192-(AA190*$B$4/(1+B184)^25)</f>
        <v>321118.08672653488</v>
      </c>
      <c r="E208"/>
      <c r="F208"/>
      <c r="G208"/>
      <c r="H208"/>
      <c r="I208"/>
      <c r="J208"/>
      <c r="K208" s="23"/>
      <c r="L208" s="23"/>
      <c r="M208" s="23"/>
      <c r="N208" s="23"/>
      <c r="O208" s="23"/>
      <c r="P208" s="23"/>
      <c r="Q208" s="23"/>
      <c r="R208" s="23"/>
      <c r="S208" s="23"/>
      <c r="T208" s="23"/>
      <c r="U208" s="23"/>
      <c r="V208" s="23"/>
      <c r="W208" s="23"/>
      <c r="X208" s="4"/>
      <c r="Y208" s="4"/>
      <c r="Z208" s="4"/>
      <c r="AA208" s="4"/>
    </row>
    <row r="209" spans="1:27">
      <c r="A209" s="209" t="s">
        <v>86</v>
      </c>
      <c r="B209" s="210">
        <f>NPV(B184,C196,D196:Q196)+B196</f>
        <v>36706.979349686946</v>
      </c>
      <c r="C209" s="211">
        <f>NPV(B184,C196,D196:V196)+B196</f>
        <v>46715.821775900651</v>
      </c>
      <c r="D209" s="212">
        <f>NPV(B184,C196,D196:AA196)+B196</f>
        <v>55516.655569207804</v>
      </c>
      <c r="E209"/>
      <c r="F209"/>
      <c r="G209"/>
      <c r="H209"/>
      <c r="I209"/>
      <c r="J209"/>
      <c r="K209" s="23"/>
      <c r="L209" s="23"/>
      <c r="M209" s="23"/>
      <c r="N209" s="23"/>
      <c r="O209" s="23"/>
      <c r="P209" s="23"/>
      <c r="Q209" s="23"/>
      <c r="R209" s="23"/>
      <c r="S209" s="23"/>
      <c r="T209" s="23"/>
      <c r="U209" s="23"/>
      <c r="V209" s="23"/>
      <c r="W209" s="23"/>
      <c r="X209" s="4"/>
      <c r="Y209" s="4"/>
      <c r="Z209" s="4"/>
      <c r="AA209" s="4"/>
    </row>
    <row r="210" spans="1:27">
      <c r="A210" s="209" t="s">
        <v>90</v>
      </c>
      <c r="B210" s="210">
        <f>NPV(B184,C201,D201:Q201)+B201</f>
        <v>7071.4487056497301</v>
      </c>
      <c r="C210" s="211">
        <f>NPV(B184,C201,D201:V201)+B201</f>
        <v>8578.1145331235512</v>
      </c>
      <c r="D210" s="212">
        <f>NPV(B184,C201,D201:AA201)+B201</f>
        <v>9792.0532594457763</v>
      </c>
      <c r="E210"/>
      <c r="F210"/>
      <c r="G210"/>
      <c r="H210"/>
      <c r="I210"/>
      <c r="J210"/>
      <c r="K210" s="23"/>
      <c r="L210" s="23"/>
      <c r="M210" s="23"/>
      <c r="N210" s="23"/>
      <c r="O210" s="23"/>
      <c r="P210" s="23"/>
      <c r="Q210" s="23"/>
      <c r="R210" s="23"/>
      <c r="S210" s="23"/>
      <c r="T210" s="23"/>
      <c r="U210" s="23"/>
      <c r="V210" s="23"/>
      <c r="W210" s="23"/>
      <c r="X210" s="4"/>
      <c r="Y210" s="4"/>
      <c r="Z210" s="4"/>
      <c r="AA210" s="4"/>
    </row>
    <row r="211" spans="1:27" s="1" customFormat="1" ht="16" thickBot="1">
      <c r="A211" s="215" t="s">
        <v>303</v>
      </c>
      <c r="B211" s="216">
        <f>((Q190-Q189)/(1+B184)^15)*$B$4</f>
        <v>74605.75191390948</v>
      </c>
      <c r="C211" s="217">
        <f>((V190-V189)/(1+B184)^20)*$B$4</f>
        <v>79712.125627639645</v>
      </c>
      <c r="D211" s="218">
        <f>(AA190/(1+B184)^25)*$B$4</f>
        <v>54128.998052199815</v>
      </c>
      <c r="E211"/>
      <c r="F211"/>
      <c r="G211"/>
      <c r="H211"/>
      <c r="I211"/>
      <c r="J211"/>
      <c r="K211" s="23"/>
      <c r="L211" s="23"/>
      <c r="M211" s="23"/>
      <c r="N211" s="23"/>
      <c r="O211" s="23"/>
      <c r="P211" s="23"/>
      <c r="Q211" s="23"/>
      <c r="R211" s="23"/>
      <c r="S211" s="23"/>
      <c r="T211" s="23"/>
      <c r="U211" s="23"/>
      <c r="V211" s="23"/>
      <c r="W211" s="23"/>
      <c r="X211" s="3"/>
      <c r="Y211" s="3"/>
      <c r="Z211" s="3"/>
      <c r="AA211" s="3"/>
    </row>
    <row r="212" spans="1:27" ht="16" thickTop="1">
      <c r="A212" s="4"/>
      <c r="B212" s="480"/>
      <c r="C212" s="480"/>
      <c r="D212" s="480"/>
      <c r="E212"/>
      <c r="F212"/>
      <c r="G212"/>
      <c r="H212"/>
      <c r="I212"/>
      <c r="J212"/>
      <c r="K212" s="5"/>
      <c r="L212" s="5"/>
      <c r="M212" s="5"/>
      <c r="N212" s="5"/>
      <c r="O212" s="5"/>
      <c r="P212" s="5"/>
      <c r="Q212" s="5"/>
      <c r="R212" s="5"/>
      <c r="S212" s="5"/>
      <c r="T212" s="5"/>
      <c r="U212" s="5"/>
      <c r="V212" s="4"/>
      <c r="W212" s="4"/>
      <c r="X212" s="4"/>
      <c r="Y212" s="4"/>
      <c r="Z212" s="4"/>
      <c r="AA212" s="4"/>
    </row>
    <row r="213" spans="1:27" ht="16" thickBot="1">
      <c r="A213" s="4"/>
      <c r="B213" s="481"/>
      <c r="C213" s="13"/>
      <c r="D213" s="486"/>
      <c r="E213"/>
      <c r="F213"/>
      <c r="G213"/>
      <c r="H213"/>
      <c r="I213"/>
      <c r="J213"/>
      <c r="K213" s="5"/>
      <c r="L213" s="5"/>
      <c r="M213" s="5"/>
      <c r="N213" s="5"/>
      <c r="O213" s="5"/>
      <c r="P213" s="5"/>
      <c r="Q213" s="5"/>
      <c r="R213" s="5"/>
      <c r="S213" s="5"/>
      <c r="T213" s="5"/>
      <c r="U213" s="5"/>
      <c r="V213" s="5"/>
      <c r="W213" s="4"/>
      <c r="X213" s="4"/>
      <c r="Y213" s="4"/>
      <c r="Z213" s="4"/>
      <c r="AA213" s="4"/>
    </row>
    <row r="214" spans="1:27" ht="21" customHeight="1" thickTop="1" thickBot="1">
      <c r="A214" s="1014" t="s">
        <v>348</v>
      </c>
      <c r="B214" s="1015"/>
      <c r="C214" s="255"/>
      <c r="D214" s="255"/>
      <c r="E214" s="149"/>
      <c r="F214" s="149"/>
      <c r="G214" s="149"/>
      <c r="H214" s="149"/>
      <c r="I214" s="149"/>
      <c r="J214" s="149"/>
      <c r="K214" s="149"/>
      <c r="L214" s="149"/>
      <c r="M214" s="149"/>
      <c r="N214" s="149"/>
      <c r="O214" s="149"/>
      <c r="P214" s="149"/>
      <c r="Q214" s="149"/>
      <c r="R214" s="149"/>
      <c r="S214" s="149"/>
      <c r="T214" s="149"/>
      <c r="U214" s="149"/>
      <c r="V214" s="149"/>
      <c r="W214" s="4"/>
      <c r="X214" s="4"/>
      <c r="Y214" s="4"/>
      <c r="Z214" s="4"/>
      <c r="AA214" s="4"/>
    </row>
    <row r="215" spans="1:27">
      <c r="A215" s="150" t="s">
        <v>83</v>
      </c>
      <c r="B215" s="657">
        <f>IF(Inputs!E28="No","",Inputs!$D$16)</f>
        <v>0.18239999999999998</v>
      </c>
      <c r="C215" s="152" t="s">
        <v>193</v>
      </c>
      <c r="D215" s="255"/>
      <c r="E215" s="149"/>
      <c r="F215" s="149"/>
      <c r="G215" s="149"/>
      <c r="H215" s="149"/>
      <c r="I215" s="149"/>
      <c r="J215" s="149"/>
      <c r="K215" s="149"/>
      <c r="L215" s="149"/>
      <c r="M215" s="149"/>
      <c r="N215" s="149"/>
      <c r="O215" s="149"/>
      <c r="P215" s="149"/>
      <c r="Q215" s="149"/>
      <c r="R215" s="149"/>
      <c r="S215" s="149"/>
      <c r="T215" s="149"/>
      <c r="U215" s="149"/>
      <c r="V215" s="149"/>
      <c r="W215" s="4"/>
      <c r="X215" s="4"/>
      <c r="Y215" s="4"/>
      <c r="Z215" s="4"/>
      <c r="AA215" s="4"/>
    </row>
    <row r="216" spans="1:27">
      <c r="A216" s="150" t="s">
        <v>221</v>
      </c>
      <c r="B216" s="151">
        <f>'Regional Fuel Costs'!C49</f>
        <v>5.5999999999999999E-3</v>
      </c>
      <c r="C216" s="152" t="s">
        <v>193</v>
      </c>
      <c r="D216" s="255"/>
      <c r="E216" s="149"/>
      <c r="F216" s="149"/>
      <c r="G216" s="149"/>
      <c r="H216" s="149"/>
      <c r="I216" s="149"/>
      <c r="J216" s="149"/>
      <c r="K216" s="149"/>
      <c r="L216" s="149"/>
      <c r="M216" s="149"/>
      <c r="N216" s="149"/>
      <c r="O216" s="149"/>
      <c r="P216" s="149"/>
      <c r="Q216" s="149"/>
      <c r="R216" s="149"/>
      <c r="S216" s="149"/>
      <c r="T216" s="149"/>
      <c r="U216" s="149"/>
      <c r="V216" s="149"/>
      <c r="W216" s="4"/>
      <c r="X216" s="4"/>
      <c r="Y216" s="4"/>
      <c r="Z216" s="4"/>
      <c r="AA216" s="4"/>
    </row>
    <row r="217" spans="1:27" ht="16">
      <c r="A217" s="150" t="s">
        <v>412</v>
      </c>
      <c r="B217" s="658">
        <f>Inputs!$D$11</f>
        <v>12</v>
      </c>
      <c r="C217" s="154" t="s">
        <v>290</v>
      </c>
      <c r="D217" s="255"/>
      <c r="E217" s="149"/>
      <c r="F217" s="149"/>
      <c r="G217" s="149"/>
      <c r="H217" s="149"/>
      <c r="I217" s="149"/>
      <c r="J217" s="149"/>
      <c r="K217" s="149"/>
      <c r="L217" s="149"/>
      <c r="M217" s="149"/>
      <c r="N217" s="149"/>
      <c r="O217" s="149"/>
      <c r="P217" s="149"/>
      <c r="Q217" s="149"/>
      <c r="R217" s="149"/>
      <c r="S217" s="149"/>
      <c r="T217" s="149"/>
      <c r="U217" s="149"/>
      <c r="V217" s="149"/>
      <c r="W217" s="4"/>
      <c r="X217" s="4"/>
      <c r="Y217" s="4"/>
      <c r="Z217" s="4"/>
      <c r="AA217" s="4"/>
    </row>
    <row r="218" spans="1:27">
      <c r="A218" s="150" t="s">
        <v>188</v>
      </c>
      <c r="B218" s="658">
        <f>Inputs!K28</f>
        <v>3.5</v>
      </c>
      <c r="C218" s="155" t="s">
        <v>196</v>
      </c>
      <c r="D218" s="255"/>
      <c r="E218" s="149"/>
      <c r="F218" s="149"/>
      <c r="G218" s="149"/>
      <c r="H218" s="149"/>
      <c r="I218" s="149"/>
      <c r="J218" s="149"/>
      <c r="K218" s="149"/>
      <c r="L218" s="149"/>
      <c r="M218" s="149"/>
      <c r="N218" s="149"/>
      <c r="O218" s="149"/>
      <c r="P218" s="149"/>
      <c r="Q218" s="149"/>
      <c r="R218" s="149"/>
      <c r="S218" s="149"/>
      <c r="T218" s="149"/>
      <c r="U218" s="149"/>
      <c r="V218" s="149"/>
      <c r="W218" s="4"/>
      <c r="X218" s="4"/>
      <c r="Y218" s="4"/>
      <c r="Z218" s="4"/>
      <c r="AA218" s="4"/>
    </row>
    <row r="219" spans="1:27">
      <c r="A219" s="150" t="s">
        <v>187</v>
      </c>
      <c r="B219" s="156">
        <f>'System Efficiencies'!C4</f>
        <v>0.95</v>
      </c>
      <c r="C219" s="155" t="s">
        <v>196</v>
      </c>
      <c r="D219" s="255"/>
      <c r="E219" s="149"/>
      <c r="F219" s="149"/>
      <c r="G219" s="149"/>
      <c r="H219" s="149"/>
      <c r="I219" s="149"/>
      <c r="J219" s="149"/>
      <c r="K219" s="149"/>
      <c r="L219" s="149"/>
      <c r="M219" s="149"/>
      <c r="N219" s="149"/>
      <c r="O219" s="149"/>
      <c r="P219" s="149"/>
      <c r="Q219" s="149"/>
      <c r="R219" s="149"/>
      <c r="S219" s="149"/>
      <c r="T219" s="149"/>
      <c r="U219" s="149"/>
      <c r="V219" s="149"/>
      <c r="W219" s="4"/>
      <c r="X219" s="4"/>
      <c r="Y219" s="4"/>
      <c r="Z219" s="4"/>
      <c r="AA219" s="4"/>
    </row>
    <row r="220" spans="1:27">
      <c r="A220" s="150" t="s">
        <v>189</v>
      </c>
      <c r="B220" s="659">
        <f>B218*B219</f>
        <v>3.3249999999999997</v>
      </c>
      <c r="C220" s="155" t="s">
        <v>196</v>
      </c>
      <c r="D220" s="255"/>
      <c r="E220" s="149"/>
      <c r="F220" s="149"/>
      <c r="G220" s="149"/>
      <c r="H220" s="149"/>
      <c r="I220" s="149"/>
      <c r="J220" s="149"/>
      <c r="K220" s="149"/>
      <c r="L220" s="149"/>
      <c r="M220" s="149"/>
      <c r="N220" s="149"/>
      <c r="O220" s="149"/>
      <c r="P220" s="149"/>
      <c r="Q220" s="149"/>
      <c r="R220" s="149"/>
      <c r="S220" s="149"/>
      <c r="T220" s="149"/>
      <c r="U220" s="149"/>
      <c r="V220" s="149"/>
      <c r="W220" s="4"/>
      <c r="X220" s="4"/>
      <c r="Y220" s="4"/>
      <c r="Z220" s="4"/>
      <c r="AA220" s="4"/>
    </row>
    <row r="221" spans="1:27" ht="16">
      <c r="A221" s="256" t="s">
        <v>413</v>
      </c>
      <c r="B221" s="658">
        <f>IF(Inputs!C8="No",0,Inputs!$D$13)</f>
        <v>0</v>
      </c>
      <c r="C221" s="154" t="s">
        <v>290</v>
      </c>
      <c r="D221" s="255"/>
      <c r="E221" s="149"/>
      <c r="F221" s="149"/>
      <c r="G221" s="149"/>
      <c r="H221" s="149"/>
      <c r="I221" s="149"/>
      <c r="J221" s="149"/>
      <c r="K221" s="149"/>
      <c r="L221" s="149"/>
      <c r="M221" s="149"/>
      <c r="N221" s="149"/>
      <c r="O221" s="149"/>
      <c r="P221" s="149"/>
      <c r="Q221" s="149"/>
      <c r="R221" s="149"/>
      <c r="S221" s="149"/>
      <c r="T221" s="149"/>
      <c r="U221" s="149"/>
      <c r="V221" s="149"/>
      <c r="W221" s="4"/>
      <c r="X221" s="4"/>
      <c r="Y221" s="4"/>
      <c r="Z221" s="4"/>
      <c r="AA221" s="4"/>
    </row>
    <row r="222" spans="1:27">
      <c r="A222" s="256" t="s">
        <v>190</v>
      </c>
      <c r="B222" s="658" t="str">
        <f>Inputs!M28</f>
        <v>N/A</v>
      </c>
      <c r="C222" s="155" t="s">
        <v>196</v>
      </c>
      <c r="D222" s="255"/>
      <c r="E222" s="149"/>
      <c r="F222" s="149"/>
      <c r="G222" s="149"/>
      <c r="H222" s="149"/>
      <c r="I222" s="149"/>
      <c r="J222" s="149"/>
      <c r="K222" s="149"/>
      <c r="L222" s="149"/>
      <c r="M222" s="149"/>
      <c r="N222" s="149"/>
      <c r="O222" s="149"/>
      <c r="P222" s="149"/>
      <c r="Q222" s="149"/>
      <c r="R222" s="149"/>
      <c r="S222" s="149"/>
      <c r="T222" s="149"/>
      <c r="U222" s="149"/>
      <c r="V222" s="149"/>
      <c r="W222" s="4"/>
      <c r="X222" s="4"/>
      <c r="Y222" s="4"/>
      <c r="Z222" s="4"/>
      <c r="AA222" s="4"/>
    </row>
    <row r="223" spans="1:27">
      <c r="A223" s="256" t="s">
        <v>191</v>
      </c>
      <c r="B223" s="156">
        <f>'System Efficiencies'!C5</f>
        <v>0.95</v>
      </c>
      <c r="C223" s="155" t="s">
        <v>196</v>
      </c>
      <c r="D223" s="255"/>
      <c r="E223" s="149"/>
      <c r="F223" s="149"/>
      <c r="G223" s="149"/>
      <c r="H223" s="149"/>
      <c r="I223" s="149"/>
      <c r="J223" s="149"/>
      <c r="K223" s="149"/>
      <c r="L223" s="149"/>
      <c r="M223" s="149"/>
      <c r="N223" s="149"/>
      <c r="O223" s="149"/>
      <c r="P223" s="149"/>
      <c r="Q223" s="149"/>
      <c r="R223" s="149"/>
      <c r="S223" s="149"/>
      <c r="T223" s="149"/>
      <c r="U223" s="149"/>
      <c r="V223" s="149"/>
      <c r="W223" s="4"/>
      <c r="X223" s="4"/>
      <c r="Y223" s="4"/>
      <c r="Z223" s="4"/>
      <c r="AA223" s="4"/>
    </row>
    <row r="224" spans="1:27">
      <c r="A224" s="256" t="s">
        <v>192</v>
      </c>
      <c r="B224" s="659" t="e">
        <f>B222*B223</f>
        <v>#VALUE!</v>
      </c>
      <c r="C224" s="155" t="s">
        <v>196</v>
      </c>
      <c r="D224" s="255"/>
      <c r="E224" s="149"/>
      <c r="F224" s="149"/>
      <c r="G224" s="149"/>
      <c r="H224" s="149"/>
      <c r="I224" s="149"/>
      <c r="J224" s="149"/>
      <c r="K224" s="149"/>
      <c r="L224" s="149"/>
      <c r="M224" s="149"/>
      <c r="N224" s="149"/>
      <c r="O224" s="149"/>
      <c r="P224" s="149"/>
      <c r="Q224" s="149"/>
      <c r="R224" s="149"/>
      <c r="S224" s="149"/>
      <c r="T224" s="149"/>
      <c r="U224" s="149"/>
      <c r="V224" s="149"/>
      <c r="W224" s="4"/>
      <c r="X224" s="4"/>
      <c r="Y224" s="4"/>
      <c r="Z224" s="4"/>
      <c r="AA224" s="4"/>
    </row>
    <row r="225" spans="1:27" ht="16">
      <c r="A225" s="150" t="s">
        <v>82</v>
      </c>
      <c r="B225" s="658">
        <f>Inputs!I28</f>
        <v>346</v>
      </c>
      <c r="C225" s="157" t="s">
        <v>195</v>
      </c>
      <c r="D225" s="255"/>
      <c r="E225" s="149"/>
      <c r="F225" s="149"/>
      <c r="G225" s="149"/>
      <c r="H225" s="149"/>
      <c r="I225" s="149"/>
      <c r="J225" s="149"/>
      <c r="K225" s="149"/>
      <c r="L225" s="149"/>
      <c r="M225" s="149"/>
      <c r="N225" s="149"/>
      <c r="O225" s="149"/>
      <c r="P225" s="149"/>
      <c r="Q225" s="149"/>
      <c r="R225" s="257"/>
      <c r="S225" s="257"/>
      <c r="T225" s="257"/>
      <c r="U225" s="257"/>
      <c r="V225" s="258"/>
      <c r="W225" s="258"/>
      <c r="X225" s="258"/>
      <c r="Y225" s="258"/>
      <c r="Z225" s="258"/>
      <c r="AA225" s="258"/>
    </row>
    <row r="226" spans="1:27">
      <c r="A226" s="150" t="s">
        <v>81</v>
      </c>
      <c r="B226" s="153">
        <f>'Capital Cost Structure'!E42</f>
        <v>25</v>
      </c>
      <c r="C226" s="157" t="s">
        <v>195</v>
      </c>
      <c r="D226" s="255"/>
      <c r="E226" s="303" t="s">
        <v>131</v>
      </c>
      <c r="F226" s="149"/>
      <c r="G226" s="149"/>
      <c r="H226" s="149"/>
      <c r="I226" s="149"/>
      <c r="J226" s="149"/>
      <c r="K226" s="149"/>
      <c r="L226" s="149"/>
      <c r="M226" s="149"/>
      <c r="N226" s="149"/>
      <c r="O226" s="149"/>
      <c r="P226" s="149"/>
      <c r="Q226" s="149"/>
      <c r="R226" s="149"/>
      <c r="S226" s="149"/>
      <c r="T226" s="149"/>
      <c r="U226" s="149"/>
      <c r="V226" s="149"/>
      <c r="W226" s="4"/>
      <c r="X226" s="4"/>
      <c r="Y226" s="4"/>
      <c r="Z226" s="4"/>
      <c r="AA226" s="4"/>
    </row>
    <row r="227" spans="1:27">
      <c r="A227" s="150" t="s">
        <v>32</v>
      </c>
      <c r="B227" s="156">
        <f>$B$5</f>
        <v>0.05</v>
      </c>
      <c r="C227" s="248" t="s">
        <v>194</v>
      </c>
      <c r="D227" s="255"/>
      <c r="E227" s="149"/>
      <c r="F227" s="149"/>
      <c r="G227" s="149"/>
      <c r="H227" s="149"/>
      <c r="I227" s="149"/>
      <c r="J227" s="149"/>
      <c r="K227" s="149"/>
      <c r="L227" s="149"/>
      <c r="M227" s="149"/>
      <c r="N227" s="149"/>
      <c r="O227" s="149"/>
      <c r="P227" s="149"/>
      <c r="Q227" s="149"/>
      <c r="R227" s="149"/>
      <c r="S227" s="149"/>
      <c r="T227" s="149"/>
      <c r="U227" s="149"/>
      <c r="V227" s="149"/>
      <c r="W227" s="4"/>
      <c r="X227" s="4"/>
      <c r="Y227" s="4"/>
      <c r="Z227" s="4"/>
      <c r="AA227" s="4"/>
    </row>
    <row r="228" spans="1:27" ht="16" thickBot="1">
      <c r="A228" s="159" t="s">
        <v>405</v>
      </c>
      <c r="B228" s="547">
        <f>Inputs!F29</f>
        <v>0</v>
      </c>
      <c r="C228" s="249" t="s">
        <v>194</v>
      </c>
      <c r="D228" s="160"/>
      <c r="E228" s="161"/>
      <c r="F228" s="161"/>
      <c r="G228" s="161"/>
      <c r="H228" s="161"/>
      <c r="I228" s="161"/>
      <c r="J228" s="161"/>
      <c r="K228" s="161"/>
      <c r="L228" s="161"/>
      <c r="M228" s="161"/>
      <c r="N228" s="161"/>
      <c r="O228" s="161"/>
      <c r="P228" s="161"/>
      <c r="Q228" s="161"/>
      <c r="R228" s="161"/>
      <c r="S228" s="161"/>
      <c r="T228" s="161"/>
      <c r="U228" s="161"/>
      <c r="V228" s="161"/>
      <c r="W228" s="4"/>
      <c r="X228" s="4"/>
      <c r="Y228" s="4"/>
      <c r="Z228" s="4"/>
      <c r="AA228" s="4"/>
    </row>
    <row r="229" spans="1:27" ht="17" thickTop="1" thickBot="1">
      <c r="A229" s="6" t="s">
        <v>0</v>
      </c>
      <c r="B229" s="139" t="s">
        <v>51</v>
      </c>
      <c r="C229" s="117" t="s">
        <v>1</v>
      </c>
      <c r="D229" s="117" t="s">
        <v>2</v>
      </c>
      <c r="E229" s="117" t="s">
        <v>3</v>
      </c>
      <c r="F229" s="117" t="s">
        <v>4</v>
      </c>
      <c r="G229" s="117" t="s">
        <v>5</v>
      </c>
      <c r="H229" s="117" t="s">
        <v>6</v>
      </c>
      <c r="I229" s="117" t="s">
        <v>7</v>
      </c>
      <c r="J229" s="117" t="s">
        <v>8</v>
      </c>
      <c r="K229" s="117" t="s">
        <v>9</v>
      </c>
      <c r="L229" s="117" t="s">
        <v>10</v>
      </c>
      <c r="M229" s="117" t="s">
        <v>11</v>
      </c>
      <c r="N229" s="117" t="s">
        <v>12</v>
      </c>
      <c r="O229" s="117" t="s">
        <v>13</v>
      </c>
      <c r="P229" s="117" t="s">
        <v>14</v>
      </c>
      <c r="Q229" s="162" t="s">
        <v>15</v>
      </c>
      <c r="R229" s="139" t="s">
        <v>16</v>
      </c>
      <c r="S229" s="117" t="s">
        <v>17</v>
      </c>
      <c r="T229" s="117" t="s">
        <v>18</v>
      </c>
      <c r="U229" s="117" t="s">
        <v>19</v>
      </c>
      <c r="V229" s="163" t="s">
        <v>20</v>
      </c>
      <c r="W229" s="164" t="s">
        <v>93</v>
      </c>
      <c r="X229" s="165" t="s">
        <v>94</v>
      </c>
      <c r="Y229" s="165" t="s">
        <v>95</v>
      </c>
      <c r="Z229" s="165" t="s">
        <v>96</v>
      </c>
      <c r="AA229" s="166" t="s">
        <v>97</v>
      </c>
    </row>
    <row r="230" spans="1:27" ht="16">
      <c r="A230" s="167" t="s">
        <v>314</v>
      </c>
      <c r="B230" s="168">
        <f>B225*(1-Inputs!G28)</f>
        <v>346</v>
      </c>
      <c r="C230" s="169"/>
      <c r="D230" s="169"/>
      <c r="E230" s="169"/>
      <c r="F230" s="169"/>
      <c r="G230" s="169"/>
      <c r="H230" s="169"/>
      <c r="I230" s="169"/>
      <c r="J230" s="169"/>
      <c r="K230" s="169"/>
      <c r="L230" s="169"/>
      <c r="M230" s="169"/>
      <c r="N230" s="169"/>
      <c r="O230" s="169"/>
      <c r="P230" s="169"/>
      <c r="Q230" s="170"/>
      <c r="R230" s="171"/>
      <c r="S230" s="169"/>
      <c r="T230" s="169"/>
      <c r="U230" s="169"/>
      <c r="V230" s="172"/>
      <c r="W230" s="169"/>
      <c r="X230" s="169"/>
      <c r="Y230" s="169"/>
      <c r="Z230" s="169"/>
      <c r="AA230" s="173"/>
    </row>
    <row r="231" spans="1:27">
      <c r="A231" s="6" t="s">
        <v>270</v>
      </c>
      <c r="B231" s="139"/>
      <c r="C231" s="7"/>
      <c r="D231" s="7"/>
      <c r="E231" s="7"/>
      <c r="F231" s="7"/>
      <c r="G231" s="269" t="s">
        <v>259</v>
      </c>
      <c r="H231" s="127"/>
      <c r="I231" s="127"/>
      <c r="J231" s="127"/>
      <c r="K231" s="127"/>
      <c r="L231" s="269" t="s">
        <v>366</v>
      </c>
      <c r="M231" s="7"/>
      <c r="N231" s="7"/>
      <c r="O231" s="7"/>
      <c r="P231" s="7"/>
      <c r="Q231" s="162" t="s">
        <v>367</v>
      </c>
      <c r="R231" s="174"/>
      <c r="S231" s="7"/>
      <c r="T231" s="7"/>
      <c r="U231" s="7"/>
      <c r="V231" s="163" t="s">
        <v>268</v>
      </c>
      <c r="W231" s="7"/>
      <c r="X231" s="7"/>
      <c r="Y231" s="7"/>
      <c r="Z231" s="7"/>
      <c r="AA231" s="175"/>
    </row>
    <row r="232" spans="1:27" ht="16">
      <c r="A232" s="6" t="s">
        <v>38</v>
      </c>
      <c r="B232" s="139">
        <v>0</v>
      </c>
      <c r="C232" s="7"/>
      <c r="D232" s="7"/>
      <c r="E232" s="7"/>
      <c r="F232" s="7"/>
      <c r="G232" s="651">
        <f>('Capital Cost Structure'!F47*B225)</f>
        <v>17.3</v>
      </c>
      <c r="H232" s="7"/>
      <c r="I232" s="7"/>
      <c r="J232" s="7"/>
      <c r="K232" s="7"/>
      <c r="L232" s="651">
        <f>('Capital Cost Structure'!F47*B225)+('Capital Cost Structure'!F46*B225)</f>
        <v>34.6</v>
      </c>
      <c r="M232" s="7"/>
      <c r="N232" s="7"/>
      <c r="O232" s="7"/>
      <c r="P232" s="7"/>
      <c r="Q232" s="653">
        <f>('Capital Cost Structure'!F47*B225)+('Capital Cost Structure'!F48*B225)+('Capital Cost Structure'!F43*B225)+('Capital Cost Structure'!F44*B225)</f>
        <v>224.9</v>
      </c>
      <c r="R232" s="174"/>
      <c r="S232" s="7"/>
      <c r="T232" s="7"/>
      <c r="U232" s="7"/>
      <c r="V232" s="653">
        <f>('Capital Cost Structure'!F47*B225)+('Capital Cost Structure'!F46*B225)</f>
        <v>34.6</v>
      </c>
      <c r="W232" s="7"/>
      <c r="X232" s="7"/>
      <c r="Y232" s="7"/>
      <c r="Z232" s="7"/>
      <c r="AA232" s="175"/>
    </row>
    <row r="233" spans="1:27">
      <c r="A233" s="6" t="s">
        <v>50</v>
      </c>
      <c r="B233" s="139">
        <f>B230</f>
        <v>346</v>
      </c>
      <c r="C233" s="7">
        <f>B233+C232-($B$230/$B$226)</f>
        <v>332.16</v>
      </c>
      <c r="D233" s="7">
        <f t="shared" ref="D233:AA233" si="65">C233+D232-($B$230/$B$226)</f>
        <v>318.32000000000005</v>
      </c>
      <c r="E233" s="7">
        <f t="shared" si="65"/>
        <v>304.48000000000008</v>
      </c>
      <c r="F233" s="7">
        <f t="shared" si="65"/>
        <v>290.6400000000001</v>
      </c>
      <c r="G233" s="7">
        <f t="shared" si="65"/>
        <v>294.10000000000014</v>
      </c>
      <c r="H233" s="7">
        <f t="shared" si="65"/>
        <v>280.26000000000016</v>
      </c>
      <c r="I233" s="7">
        <f t="shared" si="65"/>
        <v>266.42000000000019</v>
      </c>
      <c r="J233" s="7">
        <f t="shared" si="65"/>
        <v>252.58000000000018</v>
      </c>
      <c r="K233" s="7">
        <f t="shared" si="65"/>
        <v>238.74000000000018</v>
      </c>
      <c r="L233" s="7">
        <f t="shared" si="65"/>
        <v>259.50000000000023</v>
      </c>
      <c r="M233" s="7">
        <f t="shared" si="65"/>
        <v>245.66000000000022</v>
      </c>
      <c r="N233" s="7">
        <f t="shared" si="65"/>
        <v>231.82000000000022</v>
      </c>
      <c r="O233" s="7">
        <f t="shared" si="65"/>
        <v>217.98000000000022</v>
      </c>
      <c r="P233" s="7">
        <f t="shared" si="65"/>
        <v>204.14000000000021</v>
      </c>
      <c r="Q233" s="244">
        <f t="shared" si="65"/>
        <v>415.20000000000022</v>
      </c>
      <c r="R233" s="174">
        <f t="shared" si="65"/>
        <v>401.36000000000024</v>
      </c>
      <c r="S233" s="7">
        <f t="shared" si="65"/>
        <v>387.52000000000027</v>
      </c>
      <c r="T233" s="7">
        <f t="shared" si="65"/>
        <v>373.68000000000029</v>
      </c>
      <c r="U233" s="7">
        <f t="shared" si="65"/>
        <v>359.84000000000032</v>
      </c>
      <c r="V233" s="293">
        <f t="shared" si="65"/>
        <v>380.60000000000036</v>
      </c>
      <c r="W233" s="7">
        <f t="shared" si="65"/>
        <v>366.76000000000039</v>
      </c>
      <c r="X233" s="7">
        <f t="shared" si="65"/>
        <v>352.92000000000041</v>
      </c>
      <c r="Y233" s="7">
        <f t="shared" si="65"/>
        <v>339.08000000000044</v>
      </c>
      <c r="Z233" s="7">
        <f t="shared" si="65"/>
        <v>325.24000000000046</v>
      </c>
      <c r="AA233" s="178">
        <f t="shared" si="65"/>
        <v>311.40000000000049</v>
      </c>
    </row>
    <row r="234" spans="1:27" ht="16">
      <c r="A234" s="180" t="s">
        <v>22</v>
      </c>
      <c r="B234" s="183">
        <f>B230+B232+(B228/$B$4)</f>
        <v>346</v>
      </c>
      <c r="C234" s="181">
        <f>C230+C232</f>
        <v>0</v>
      </c>
      <c r="D234" s="181">
        <f t="shared" ref="D234:AA234" si="66">D230+D232</f>
        <v>0</v>
      </c>
      <c r="E234" s="181">
        <f t="shared" si="66"/>
        <v>0</v>
      </c>
      <c r="F234" s="181">
        <f t="shared" si="66"/>
        <v>0</v>
      </c>
      <c r="G234" s="181">
        <f>G230+G232</f>
        <v>17.3</v>
      </c>
      <c r="H234" s="181">
        <f t="shared" si="66"/>
        <v>0</v>
      </c>
      <c r="I234" s="181">
        <f t="shared" si="66"/>
        <v>0</v>
      </c>
      <c r="J234" s="181">
        <f t="shared" si="66"/>
        <v>0</v>
      </c>
      <c r="K234" s="181">
        <f t="shared" si="66"/>
        <v>0</v>
      </c>
      <c r="L234" s="181">
        <f t="shared" si="66"/>
        <v>34.6</v>
      </c>
      <c r="M234" s="181">
        <f t="shared" si="66"/>
        <v>0</v>
      </c>
      <c r="N234" s="181">
        <f t="shared" si="66"/>
        <v>0</v>
      </c>
      <c r="O234" s="181">
        <f t="shared" si="66"/>
        <v>0</v>
      </c>
      <c r="P234" s="181">
        <f t="shared" si="66"/>
        <v>0</v>
      </c>
      <c r="Q234" s="182">
        <f t="shared" si="66"/>
        <v>224.9</v>
      </c>
      <c r="R234" s="183">
        <f t="shared" si="66"/>
        <v>0</v>
      </c>
      <c r="S234" s="181">
        <f t="shared" si="66"/>
        <v>0</v>
      </c>
      <c r="T234" s="181">
        <f t="shared" si="66"/>
        <v>0</v>
      </c>
      <c r="U234" s="181">
        <f t="shared" si="66"/>
        <v>0</v>
      </c>
      <c r="V234" s="182">
        <f t="shared" si="66"/>
        <v>34.6</v>
      </c>
      <c r="W234" s="181">
        <f t="shared" si="66"/>
        <v>0</v>
      </c>
      <c r="X234" s="181">
        <f t="shared" si="66"/>
        <v>0</v>
      </c>
      <c r="Y234" s="181">
        <f t="shared" si="66"/>
        <v>0</v>
      </c>
      <c r="Z234" s="181">
        <f t="shared" si="66"/>
        <v>0</v>
      </c>
      <c r="AA234" s="182">
        <f t="shared" si="66"/>
        <v>0</v>
      </c>
    </row>
    <row r="235" spans="1:27" s="18" customFormat="1" ht="16" thickBot="1">
      <c r="A235" s="184" t="s">
        <v>87</v>
      </c>
      <c r="B235" s="185">
        <f>(B234*$B$4)</f>
        <v>346000</v>
      </c>
      <c r="C235" s="186">
        <f>C234*$B$4</f>
        <v>0</v>
      </c>
      <c r="D235" s="186">
        <f>D234*$B$4</f>
        <v>0</v>
      </c>
      <c r="E235" s="186">
        <f t="shared" ref="E235:V235" si="67">E234*$B$4</f>
        <v>0</v>
      </c>
      <c r="F235" s="186">
        <f t="shared" si="67"/>
        <v>0</v>
      </c>
      <c r="G235" s="186">
        <f>G234*$B$4</f>
        <v>17300</v>
      </c>
      <c r="H235" s="186">
        <f t="shared" si="67"/>
        <v>0</v>
      </c>
      <c r="I235" s="186">
        <f t="shared" si="67"/>
        <v>0</v>
      </c>
      <c r="J235" s="186">
        <f t="shared" si="67"/>
        <v>0</v>
      </c>
      <c r="K235" s="186">
        <f t="shared" si="67"/>
        <v>0</v>
      </c>
      <c r="L235" s="186">
        <f t="shared" si="67"/>
        <v>34600</v>
      </c>
      <c r="M235" s="186">
        <f t="shared" si="67"/>
        <v>0</v>
      </c>
      <c r="N235" s="186">
        <f t="shared" si="67"/>
        <v>0</v>
      </c>
      <c r="O235" s="186">
        <f t="shared" si="67"/>
        <v>0</v>
      </c>
      <c r="P235" s="186">
        <f t="shared" si="67"/>
        <v>0</v>
      </c>
      <c r="Q235" s="187">
        <f t="shared" si="67"/>
        <v>224900</v>
      </c>
      <c r="R235" s="185">
        <f t="shared" si="67"/>
        <v>0</v>
      </c>
      <c r="S235" s="186">
        <f t="shared" si="67"/>
        <v>0</v>
      </c>
      <c r="T235" s="186">
        <f t="shared" si="67"/>
        <v>0</v>
      </c>
      <c r="U235" s="186">
        <f t="shared" si="67"/>
        <v>0</v>
      </c>
      <c r="V235" s="188">
        <f t="shared" si="67"/>
        <v>34600</v>
      </c>
      <c r="W235" s="186">
        <f>W234*$B$4</f>
        <v>0</v>
      </c>
      <c r="X235" s="186">
        <f>X234*$B$4</f>
        <v>0</v>
      </c>
      <c r="Y235" s="186">
        <f>Y234*$B$4</f>
        <v>0</v>
      </c>
      <c r="Z235" s="186">
        <f>Z234*$B$4</f>
        <v>0</v>
      </c>
      <c r="AA235" s="189">
        <f>AA234*$B$4</f>
        <v>0</v>
      </c>
    </row>
    <row r="236" spans="1:27">
      <c r="A236" s="6"/>
      <c r="B236" s="139"/>
      <c r="C236" s="7"/>
      <c r="D236" s="7"/>
      <c r="E236" s="7"/>
      <c r="F236" s="7"/>
      <c r="G236" s="7"/>
      <c r="H236" s="7"/>
      <c r="I236" s="7"/>
      <c r="J236" s="7"/>
      <c r="K236" s="7"/>
      <c r="L236" s="7"/>
      <c r="M236" s="7"/>
      <c r="N236" s="7"/>
      <c r="O236" s="7"/>
      <c r="P236" s="7"/>
      <c r="Q236" s="104"/>
      <c r="R236" s="174"/>
      <c r="S236" s="7"/>
      <c r="T236" s="7"/>
      <c r="U236" s="7"/>
      <c r="V236" s="179"/>
      <c r="W236" s="7"/>
      <c r="X236" s="7"/>
      <c r="Y236" s="7"/>
      <c r="Z236" s="7"/>
      <c r="AA236" s="175"/>
    </row>
    <row r="237" spans="1:27">
      <c r="A237" s="6" t="s">
        <v>21</v>
      </c>
      <c r="B237" s="139">
        <v>0</v>
      </c>
      <c r="C237" s="17">
        <v>0.01</v>
      </c>
      <c r="D237" s="17">
        <f>C237+(0.01/($B$226-1))</f>
        <v>1.0416666666666666E-2</v>
      </c>
      <c r="E237" s="17">
        <f t="shared" ref="E237:AA237" si="68">D237+(0.01/($B$226-1))</f>
        <v>1.0833333333333332E-2</v>
      </c>
      <c r="F237" s="17">
        <f>E237+(0.01/($B$226-1))</f>
        <v>1.1249999999999998E-2</v>
      </c>
      <c r="G237" s="17">
        <f t="shared" si="68"/>
        <v>1.1666666666666664E-2</v>
      </c>
      <c r="H237" s="17">
        <f t="shared" si="68"/>
        <v>1.208333333333333E-2</v>
      </c>
      <c r="I237" s="17">
        <f t="shared" si="68"/>
        <v>1.2499999999999995E-2</v>
      </c>
      <c r="J237" s="17">
        <f t="shared" si="68"/>
        <v>1.2916666666666661E-2</v>
      </c>
      <c r="K237" s="17">
        <f t="shared" si="68"/>
        <v>1.3333333333333327E-2</v>
      </c>
      <c r="L237" s="17">
        <f t="shared" si="68"/>
        <v>1.3749999999999993E-2</v>
      </c>
      <c r="M237" s="17">
        <f t="shared" si="68"/>
        <v>1.4166666666666659E-2</v>
      </c>
      <c r="N237" s="17">
        <f>M237+(0.01/($B$226-1))</f>
        <v>1.4583333333333325E-2</v>
      </c>
      <c r="O237" s="17">
        <f t="shared" si="68"/>
        <v>1.4999999999999991E-2</v>
      </c>
      <c r="P237" s="17">
        <f t="shared" si="68"/>
        <v>1.5416666666666657E-2</v>
      </c>
      <c r="Q237" s="190">
        <f t="shared" si="68"/>
        <v>1.5833333333333324E-2</v>
      </c>
      <c r="R237" s="191">
        <f t="shared" si="68"/>
        <v>1.624999999999999E-2</v>
      </c>
      <c r="S237" s="17">
        <f t="shared" si="68"/>
        <v>1.6666666666666656E-2</v>
      </c>
      <c r="T237" s="17">
        <f t="shared" si="68"/>
        <v>1.7083333333333322E-2</v>
      </c>
      <c r="U237" s="17">
        <f t="shared" si="68"/>
        <v>1.7499999999999988E-2</v>
      </c>
      <c r="V237" s="192">
        <f t="shared" si="68"/>
        <v>1.7916666666666654E-2</v>
      </c>
      <c r="W237" s="17">
        <f t="shared" si="68"/>
        <v>1.833333333333332E-2</v>
      </c>
      <c r="X237" s="17">
        <f t="shared" si="68"/>
        <v>1.8749999999999985E-2</v>
      </c>
      <c r="Y237" s="17">
        <f t="shared" si="68"/>
        <v>1.9166666666666651E-2</v>
      </c>
      <c r="Z237" s="17">
        <f t="shared" si="68"/>
        <v>1.9583333333333317E-2</v>
      </c>
      <c r="AA237" s="193">
        <f t="shared" si="68"/>
        <v>1.9999999999999983E-2</v>
      </c>
    </row>
    <row r="238" spans="1:27" ht="16">
      <c r="A238" s="180" t="s">
        <v>23</v>
      </c>
      <c r="B238" s="194">
        <f>B237*$B$225</f>
        <v>0</v>
      </c>
      <c r="C238" s="194">
        <f>C237*$B$225</f>
        <v>3.46</v>
      </c>
      <c r="D238" s="194">
        <f t="shared" ref="D238:AA238" si="69">D237*$B$225</f>
        <v>3.6041666666666665</v>
      </c>
      <c r="E238" s="194">
        <f>E237*$B$225</f>
        <v>3.7483333333333331</v>
      </c>
      <c r="F238" s="194">
        <f t="shared" si="69"/>
        <v>3.8924999999999992</v>
      </c>
      <c r="G238" s="194">
        <f t="shared" si="69"/>
        <v>4.0366666666666653</v>
      </c>
      <c r="H238" s="194">
        <f t="shared" si="69"/>
        <v>4.1808333333333323</v>
      </c>
      <c r="I238" s="194">
        <f t="shared" si="69"/>
        <v>4.3249999999999984</v>
      </c>
      <c r="J238" s="194">
        <f t="shared" si="69"/>
        <v>4.4691666666666645</v>
      </c>
      <c r="K238" s="194">
        <f t="shared" si="69"/>
        <v>4.6133333333333315</v>
      </c>
      <c r="L238" s="194">
        <f t="shared" si="69"/>
        <v>4.7574999999999976</v>
      </c>
      <c r="M238" s="194">
        <f t="shared" si="69"/>
        <v>4.9016666666666637</v>
      </c>
      <c r="N238" s="194">
        <f t="shared" si="69"/>
        <v>5.0458333333333307</v>
      </c>
      <c r="O238" s="194">
        <f t="shared" si="69"/>
        <v>5.1899999999999968</v>
      </c>
      <c r="P238" s="194">
        <f t="shared" si="69"/>
        <v>5.3341666666666629</v>
      </c>
      <c r="Q238" s="195">
        <f t="shared" si="69"/>
        <v>5.4783333333333299</v>
      </c>
      <c r="R238" s="196">
        <f t="shared" si="69"/>
        <v>5.6224999999999969</v>
      </c>
      <c r="S238" s="194">
        <f t="shared" si="69"/>
        <v>5.7666666666666631</v>
      </c>
      <c r="T238" s="194">
        <f t="shared" si="69"/>
        <v>5.9108333333333292</v>
      </c>
      <c r="U238" s="194">
        <f t="shared" si="69"/>
        <v>6.0549999999999962</v>
      </c>
      <c r="V238" s="195">
        <f t="shared" si="69"/>
        <v>6.1991666666666623</v>
      </c>
      <c r="W238" s="194">
        <f t="shared" si="69"/>
        <v>6.3433333333333284</v>
      </c>
      <c r="X238" s="194">
        <f t="shared" si="69"/>
        <v>6.4874999999999954</v>
      </c>
      <c r="Y238" s="194">
        <f t="shared" si="69"/>
        <v>6.6316666666666615</v>
      </c>
      <c r="Z238" s="194">
        <f t="shared" si="69"/>
        <v>6.7758333333333276</v>
      </c>
      <c r="AA238" s="195">
        <f t="shared" si="69"/>
        <v>6.9199999999999937</v>
      </c>
    </row>
    <row r="239" spans="1:27" s="24" customFormat="1" ht="16" thickBot="1">
      <c r="A239" s="197" t="s">
        <v>88</v>
      </c>
      <c r="B239" s="279">
        <f t="shared" ref="B239:V239" si="70">B238*$B$4</f>
        <v>0</v>
      </c>
      <c r="C239" s="277">
        <f>C238*$B$4</f>
        <v>3460</v>
      </c>
      <c r="D239" s="277">
        <f t="shared" si="70"/>
        <v>3604.1666666666665</v>
      </c>
      <c r="E239" s="277">
        <f t="shared" si="70"/>
        <v>3748.333333333333</v>
      </c>
      <c r="F239" s="277">
        <f t="shared" si="70"/>
        <v>3892.4999999999991</v>
      </c>
      <c r="G239" s="277">
        <f t="shared" si="70"/>
        <v>4036.6666666666652</v>
      </c>
      <c r="H239" s="277">
        <f t="shared" si="70"/>
        <v>4180.8333333333321</v>
      </c>
      <c r="I239" s="277">
        <f>I238*$B$4</f>
        <v>4324.9999999999982</v>
      </c>
      <c r="J239" s="277">
        <f t="shared" si="70"/>
        <v>4469.1666666666642</v>
      </c>
      <c r="K239" s="277">
        <f t="shared" si="70"/>
        <v>4613.3333333333312</v>
      </c>
      <c r="L239" s="277">
        <f t="shared" si="70"/>
        <v>4757.4999999999973</v>
      </c>
      <c r="M239" s="277">
        <f t="shared" si="70"/>
        <v>4901.6666666666633</v>
      </c>
      <c r="N239" s="277">
        <f t="shared" si="70"/>
        <v>5045.8333333333303</v>
      </c>
      <c r="O239" s="277">
        <f t="shared" si="70"/>
        <v>5189.9999999999973</v>
      </c>
      <c r="P239" s="277">
        <f t="shared" si="70"/>
        <v>5334.1666666666633</v>
      </c>
      <c r="Q239" s="278">
        <f t="shared" si="70"/>
        <v>5478.3333333333303</v>
      </c>
      <c r="R239" s="279">
        <f t="shared" si="70"/>
        <v>5622.4999999999973</v>
      </c>
      <c r="S239" s="277">
        <f t="shared" si="70"/>
        <v>5766.6666666666633</v>
      </c>
      <c r="T239" s="277">
        <f t="shared" si="70"/>
        <v>5910.8333333333294</v>
      </c>
      <c r="U239" s="277">
        <f t="shared" si="70"/>
        <v>6054.9999999999964</v>
      </c>
      <c r="V239" s="280">
        <f t="shared" si="70"/>
        <v>6199.1666666666624</v>
      </c>
      <c r="W239" s="277">
        <f>W238*$B$4</f>
        <v>6343.3333333333285</v>
      </c>
      <c r="X239" s="277">
        <f>X238*$B$4</f>
        <v>6487.4999999999955</v>
      </c>
      <c r="Y239" s="277">
        <f>Y238*$B$4</f>
        <v>6631.6666666666615</v>
      </c>
      <c r="Z239" s="277">
        <f>Z238*$B$4</f>
        <v>6775.8333333333276</v>
      </c>
      <c r="AA239" s="281">
        <f>AA238*$B$4</f>
        <v>6919.9999999999936</v>
      </c>
    </row>
    <row r="240" spans="1:27">
      <c r="A240" s="199"/>
      <c r="B240" s="174"/>
      <c r="C240" s="7"/>
      <c r="D240" s="7"/>
      <c r="E240" s="7"/>
      <c r="F240" s="7"/>
      <c r="G240" s="7"/>
      <c r="H240" s="7"/>
      <c r="I240" s="7"/>
      <c r="J240" s="7"/>
      <c r="K240" s="7"/>
      <c r="L240" s="7"/>
      <c r="M240" s="7"/>
      <c r="N240" s="7"/>
      <c r="O240" s="7"/>
      <c r="P240" s="7"/>
      <c r="Q240" s="104"/>
      <c r="R240" s="174"/>
      <c r="S240" s="7"/>
      <c r="T240" s="7"/>
      <c r="U240" s="7"/>
      <c r="V240" s="179"/>
      <c r="W240" s="7"/>
      <c r="X240" s="7"/>
      <c r="Y240" s="7"/>
      <c r="Z240" s="7"/>
      <c r="AA240" s="175"/>
    </row>
    <row r="241" spans="1:27">
      <c r="A241" s="6" t="s">
        <v>25</v>
      </c>
      <c r="B241" s="139">
        <v>0</v>
      </c>
      <c r="C241" s="259">
        <f>B215</f>
        <v>0.18239999999999998</v>
      </c>
      <c r="D241" s="259">
        <f t="shared" ref="D241:AA241" si="71">C241+C242</f>
        <v>0.18342143999999999</v>
      </c>
      <c r="E241" s="259">
        <f t="shared" si="71"/>
        <v>0.18444860006399999</v>
      </c>
      <c r="F241" s="259">
        <f t="shared" si="71"/>
        <v>0.18548151222435838</v>
      </c>
      <c r="G241" s="259">
        <f t="shared" si="71"/>
        <v>0.1865202086928148</v>
      </c>
      <c r="H241" s="259">
        <f t="shared" si="71"/>
        <v>0.18756472186149456</v>
      </c>
      <c r="I241" s="259">
        <f t="shared" si="71"/>
        <v>0.18861508430391893</v>
      </c>
      <c r="J241" s="259">
        <f t="shared" si="71"/>
        <v>0.18967132877602089</v>
      </c>
      <c r="K241" s="259">
        <f t="shared" si="71"/>
        <v>0.1907334882171666</v>
      </c>
      <c r="L241" s="259">
        <f t="shared" si="71"/>
        <v>0.19180159575118272</v>
      </c>
      <c r="M241" s="259">
        <f t="shared" si="71"/>
        <v>0.19287568468738933</v>
      </c>
      <c r="N241" s="259">
        <f>M241+M242</f>
        <v>0.19395578852163872</v>
      </c>
      <c r="O241" s="259">
        <f t="shared" si="71"/>
        <v>0.19504194093735991</v>
      </c>
      <c r="P241" s="259">
        <f t="shared" si="71"/>
        <v>0.19613417580660913</v>
      </c>
      <c r="Q241" s="105">
        <f t="shared" si="71"/>
        <v>0.19723252719112613</v>
      </c>
      <c r="R241" s="260">
        <f t="shared" si="71"/>
        <v>0.19833702934339645</v>
      </c>
      <c r="S241" s="259">
        <f t="shared" si="71"/>
        <v>0.19944771670771946</v>
      </c>
      <c r="T241" s="259">
        <f t="shared" si="71"/>
        <v>0.20056462392128269</v>
      </c>
      <c r="U241" s="259">
        <f t="shared" si="71"/>
        <v>0.20168778581524188</v>
      </c>
      <c r="V241" s="261">
        <f t="shared" si="71"/>
        <v>0.20281723741580723</v>
      </c>
      <c r="W241" s="259">
        <f t="shared" si="71"/>
        <v>0.20395301394533574</v>
      </c>
      <c r="X241" s="259">
        <f t="shared" si="71"/>
        <v>0.20509515082342963</v>
      </c>
      <c r="Y241" s="259">
        <f t="shared" si="71"/>
        <v>0.20624368366804083</v>
      </c>
      <c r="Z241" s="259">
        <f t="shared" si="71"/>
        <v>0.20739864829658186</v>
      </c>
      <c r="AA241" s="262">
        <f t="shared" si="71"/>
        <v>0.20856008072704271</v>
      </c>
    </row>
    <row r="242" spans="1:27">
      <c r="A242" s="209" t="s">
        <v>248</v>
      </c>
      <c r="B242" s="139"/>
      <c r="C242" s="259">
        <f>C241*$B$216</f>
        <v>1.02144E-3</v>
      </c>
      <c r="D242" s="259">
        <f t="shared" ref="D242:AA242" si="72">D241*$B$216</f>
        <v>1.027160064E-3</v>
      </c>
      <c r="E242" s="259">
        <f t="shared" si="72"/>
        <v>1.0329121603583999E-3</v>
      </c>
      <c r="F242" s="259">
        <f>F241*$B$216</f>
        <v>1.0386964684564069E-3</v>
      </c>
      <c r="G242" s="259">
        <f t="shared" si="72"/>
        <v>1.0445131686797628E-3</v>
      </c>
      <c r="H242" s="259">
        <f t="shared" si="72"/>
        <v>1.0503624424243695E-3</v>
      </c>
      <c r="I242" s="259">
        <f t="shared" si="72"/>
        <v>1.0562444721019461E-3</v>
      </c>
      <c r="J242" s="259">
        <f t="shared" si="72"/>
        <v>1.062159441145717E-3</v>
      </c>
      <c r="K242" s="259">
        <f t="shared" si="72"/>
        <v>1.068107534016133E-3</v>
      </c>
      <c r="L242" s="259">
        <f t="shared" si="72"/>
        <v>1.0740889362066232E-3</v>
      </c>
      <c r="M242" s="259">
        <f t="shared" si="72"/>
        <v>1.0801038342493803E-3</v>
      </c>
      <c r="N242" s="259">
        <f t="shared" si="72"/>
        <v>1.0861524157211768E-3</v>
      </c>
      <c r="O242" s="259">
        <f t="shared" si="72"/>
        <v>1.0922348692492154E-3</v>
      </c>
      <c r="P242" s="259">
        <f t="shared" si="72"/>
        <v>1.0983513845170111E-3</v>
      </c>
      <c r="Q242" s="105">
        <f t="shared" si="72"/>
        <v>1.1045021522703064E-3</v>
      </c>
      <c r="R242" s="260">
        <f t="shared" si="72"/>
        <v>1.1106873643230201E-3</v>
      </c>
      <c r="S242" s="259">
        <f t="shared" si="72"/>
        <v>1.116907213563229E-3</v>
      </c>
      <c r="T242" s="259">
        <f t="shared" si="72"/>
        <v>1.1231618939591831E-3</v>
      </c>
      <c r="U242" s="259">
        <f t="shared" si="72"/>
        <v>1.1294516005653545E-3</v>
      </c>
      <c r="V242" s="261">
        <f t="shared" si="72"/>
        <v>1.1357765295285204E-3</v>
      </c>
      <c r="W242" s="259">
        <f t="shared" si="72"/>
        <v>1.1421368780938801E-3</v>
      </c>
      <c r="X242" s="259">
        <f t="shared" si="72"/>
        <v>1.1485328446112059E-3</v>
      </c>
      <c r="Y242" s="259">
        <f t="shared" si="72"/>
        <v>1.1549646285410285E-3</v>
      </c>
      <c r="Z242" s="259">
        <f t="shared" si="72"/>
        <v>1.1614324304608584E-3</v>
      </c>
      <c r="AA242" s="262">
        <f t="shared" si="72"/>
        <v>1.1679364520714392E-3</v>
      </c>
    </row>
    <row r="243" spans="1:27" ht="16">
      <c r="A243" s="180" t="s">
        <v>24</v>
      </c>
      <c r="B243" s="194">
        <f>B241*(($B$217*(1/$B$220))+IF(ISERROR($B$224),0,($B$221*(1/$B$224))))</f>
        <v>0</v>
      </c>
      <c r="C243" s="194">
        <f>C241*(($B$217*(1/$B$220))+IF(ISERROR($B$224),0,($B$221*(1/$B$224))))</f>
        <v>0.65828571428571436</v>
      </c>
      <c r="D243" s="194">
        <f t="shared" ref="D243:AA243" si="73">D241*(($B$217*(1/$B$220))+IF(ISERROR($B$224),0,($B$221*(1/$B$224))))</f>
        <v>0.66197211428571434</v>
      </c>
      <c r="E243" s="194">
        <f t="shared" si="73"/>
        <v>0.66567915812571443</v>
      </c>
      <c r="F243" s="194">
        <f t="shared" si="73"/>
        <v>0.66940696141121836</v>
      </c>
      <c r="G243" s="194">
        <f t="shared" si="73"/>
        <v>0.67315564039512121</v>
      </c>
      <c r="H243" s="194">
        <f t="shared" si="73"/>
        <v>0.67692531198133388</v>
      </c>
      <c r="I243" s="194">
        <f t="shared" si="73"/>
        <v>0.68071609372842934</v>
      </c>
      <c r="J243" s="194">
        <f t="shared" si="73"/>
        <v>0.68452810385330864</v>
      </c>
      <c r="K243" s="194">
        <f t="shared" si="73"/>
        <v>0.68836146123488706</v>
      </c>
      <c r="L243" s="194">
        <f t="shared" si="73"/>
        <v>0.69221628541780245</v>
      </c>
      <c r="M243" s="194">
        <f t="shared" si="73"/>
        <v>0.69609269661614204</v>
      </c>
      <c r="N243" s="194">
        <f t="shared" si="73"/>
        <v>0.69999081571719246</v>
      </c>
      <c r="O243" s="194">
        <f t="shared" si="73"/>
        <v>0.70391076428520882</v>
      </c>
      <c r="P243" s="194">
        <f t="shared" si="73"/>
        <v>0.70785266456520601</v>
      </c>
      <c r="Q243" s="195">
        <f t="shared" si="73"/>
        <v>0.7118166394867711</v>
      </c>
      <c r="R243" s="196">
        <f t="shared" si="73"/>
        <v>0.71580281266789714</v>
      </c>
      <c r="S243" s="194">
        <f t="shared" si="73"/>
        <v>0.71981130841883734</v>
      </c>
      <c r="T243" s="194">
        <f t="shared" si="73"/>
        <v>0.72384225174598271</v>
      </c>
      <c r="U243" s="194">
        <f t="shared" si="73"/>
        <v>0.72789576835576031</v>
      </c>
      <c r="V243" s="195">
        <f t="shared" si="73"/>
        <v>0.73197198465855251</v>
      </c>
      <c r="W243" s="194">
        <f t="shared" si="73"/>
        <v>0.73607102777264044</v>
      </c>
      <c r="X243" s="194">
        <f t="shared" si="73"/>
        <v>0.74019302552816724</v>
      </c>
      <c r="Y243" s="194">
        <f t="shared" si="73"/>
        <v>0.74433810647112497</v>
      </c>
      <c r="Z243" s="194">
        <f t="shared" si="73"/>
        <v>0.74850639986736323</v>
      </c>
      <c r="AA243" s="195">
        <f t="shared" si="73"/>
        <v>0.75269803570662042</v>
      </c>
    </row>
    <row r="244" spans="1:27" s="24" customFormat="1" ht="16" thickBot="1">
      <c r="A244" s="197" t="s">
        <v>89</v>
      </c>
      <c r="B244" s="288">
        <f>B243*$B$4</f>
        <v>0</v>
      </c>
      <c r="C244" s="277">
        <f>C243*$B$4</f>
        <v>658.28571428571433</v>
      </c>
      <c r="D244" s="277">
        <f>D243*$B$4</f>
        <v>661.97211428571438</v>
      </c>
      <c r="E244" s="277">
        <f t="shared" ref="E244:V244" si="74">E243*$B$4</f>
        <v>665.67915812571448</v>
      </c>
      <c r="F244" s="277">
        <f t="shared" si="74"/>
        <v>669.40696141121839</v>
      </c>
      <c r="G244" s="277">
        <f t="shared" si="74"/>
        <v>673.15564039512117</v>
      </c>
      <c r="H244" s="277">
        <f t="shared" si="74"/>
        <v>676.92531198133383</v>
      </c>
      <c r="I244" s="277">
        <f t="shared" si="74"/>
        <v>680.71609372842931</v>
      </c>
      <c r="J244" s="277">
        <f t="shared" si="74"/>
        <v>684.52810385330861</v>
      </c>
      <c r="K244" s="277">
        <f t="shared" si="74"/>
        <v>688.36146123488709</v>
      </c>
      <c r="L244" s="277">
        <f t="shared" si="74"/>
        <v>692.2162854178024</v>
      </c>
      <c r="M244" s="277">
        <f t="shared" si="74"/>
        <v>696.09269661614201</v>
      </c>
      <c r="N244" s="277">
        <f t="shared" si="74"/>
        <v>699.9908157171925</v>
      </c>
      <c r="O244" s="277">
        <f t="shared" si="74"/>
        <v>703.91076428520887</v>
      </c>
      <c r="P244" s="277">
        <f t="shared" si="74"/>
        <v>707.85266456520606</v>
      </c>
      <c r="Q244" s="278">
        <f t="shared" si="74"/>
        <v>711.81663948677112</v>
      </c>
      <c r="R244" s="279">
        <f t="shared" si="74"/>
        <v>715.80281266789711</v>
      </c>
      <c r="S244" s="277">
        <f t="shared" si="74"/>
        <v>719.81130841883737</v>
      </c>
      <c r="T244" s="277">
        <f t="shared" si="74"/>
        <v>723.84225174598271</v>
      </c>
      <c r="U244" s="277">
        <f t="shared" si="74"/>
        <v>727.89576835576031</v>
      </c>
      <c r="V244" s="280">
        <f t="shared" si="74"/>
        <v>731.97198465855251</v>
      </c>
      <c r="W244" s="277">
        <f>W243*$B$4</f>
        <v>736.07102777264049</v>
      </c>
      <c r="X244" s="277">
        <f>X243*$B$4</f>
        <v>740.19302552816725</v>
      </c>
      <c r="Y244" s="277">
        <f>Y243*$B$4</f>
        <v>744.338106471125</v>
      </c>
      <c r="Z244" s="277">
        <f>Z243*$B$4</f>
        <v>748.50639986736326</v>
      </c>
      <c r="AA244" s="281">
        <f>AA243*$B$4</f>
        <v>752.69803570662043</v>
      </c>
    </row>
    <row r="245" spans="1:27" s="24" customFormat="1">
      <c r="A245" s="167"/>
      <c r="B245" s="168"/>
      <c r="C245" s="169"/>
      <c r="D245" s="169"/>
      <c r="E245" s="169"/>
      <c r="F245" s="169"/>
      <c r="G245" s="169"/>
      <c r="H245" s="169"/>
      <c r="I245" s="169"/>
      <c r="J245" s="169"/>
      <c r="K245" s="169"/>
      <c r="L245" s="169"/>
      <c r="M245" s="169"/>
      <c r="N245" s="169"/>
      <c r="O245" s="169"/>
      <c r="P245" s="169"/>
      <c r="Q245" s="170"/>
      <c r="R245" s="171"/>
      <c r="S245" s="169"/>
      <c r="T245" s="169"/>
      <c r="U245" s="169"/>
      <c r="V245" s="172"/>
      <c r="W245" s="169"/>
      <c r="X245" s="169"/>
      <c r="Y245" s="169"/>
      <c r="Z245" s="169"/>
      <c r="AA245" s="173"/>
    </row>
    <row r="246" spans="1:27" ht="16">
      <c r="A246" s="6" t="s">
        <v>34</v>
      </c>
      <c r="B246" s="291">
        <f>B234+B238+B243</f>
        <v>346</v>
      </c>
      <c r="C246" s="118">
        <f>C234+C238+C243</f>
        <v>4.1182857142857143</v>
      </c>
      <c r="D246" s="118">
        <f>D234+D238+D243</f>
        <v>4.2661387809523807</v>
      </c>
      <c r="E246" s="118">
        <f t="shared" ref="E246:Q246" si="75">E234+E238+E243</f>
        <v>4.4140124914590473</v>
      </c>
      <c r="F246" s="118">
        <f t="shared" si="75"/>
        <v>4.5619069614112178</v>
      </c>
      <c r="G246" s="118">
        <f t="shared" si="75"/>
        <v>22.009822307061786</v>
      </c>
      <c r="H246" s="118">
        <f t="shared" si="75"/>
        <v>4.8577586453146662</v>
      </c>
      <c r="I246" s="118">
        <f t="shared" si="75"/>
        <v>5.0057160937284273</v>
      </c>
      <c r="J246" s="118">
        <f t="shared" si="75"/>
        <v>5.1536947705199729</v>
      </c>
      <c r="K246" s="118">
        <f t="shared" si="75"/>
        <v>5.3016947945682187</v>
      </c>
      <c r="L246" s="118">
        <f t="shared" si="75"/>
        <v>40.049716285417801</v>
      </c>
      <c r="M246" s="118">
        <f t="shared" si="75"/>
        <v>5.5977593632828055</v>
      </c>
      <c r="N246" s="118">
        <f t="shared" si="75"/>
        <v>5.7458241490505229</v>
      </c>
      <c r="O246" s="118">
        <f t="shared" si="75"/>
        <v>5.8939107642852058</v>
      </c>
      <c r="P246" s="118">
        <f t="shared" si="75"/>
        <v>6.0420193312318693</v>
      </c>
      <c r="Q246" s="202">
        <f t="shared" si="75"/>
        <v>231.09014997282011</v>
      </c>
      <c r="R246" s="136">
        <f t="shared" ref="R246:AA246" si="76">R234+R238+R243</f>
        <v>6.3383028126678944</v>
      </c>
      <c r="S246" s="118">
        <f t="shared" si="76"/>
        <v>6.4864779750855002</v>
      </c>
      <c r="T246" s="118">
        <f t="shared" si="76"/>
        <v>6.6346755850793118</v>
      </c>
      <c r="U246" s="118">
        <f t="shared" si="76"/>
        <v>6.7828957683557567</v>
      </c>
      <c r="V246" s="203">
        <f t="shared" si="76"/>
        <v>41.531138651325215</v>
      </c>
      <c r="W246" s="118">
        <f t="shared" si="76"/>
        <v>7.0794043611059685</v>
      </c>
      <c r="X246" s="118">
        <f t="shared" si="76"/>
        <v>7.2276930255281631</v>
      </c>
      <c r="Y246" s="118">
        <f t="shared" si="76"/>
        <v>7.3760047731377867</v>
      </c>
      <c r="Z246" s="118">
        <f t="shared" si="76"/>
        <v>7.5243397332006907</v>
      </c>
      <c r="AA246" s="204">
        <f t="shared" si="76"/>
        <v>7.6726980357066141</v>
      </c>
    </row>
    <row r="247" spans="1:27" ht="16" thickBot="1">
      <c r="A247" s="135" t="s">
        <v>35</v>
      </c>
      <c r="B247" s="243">
        <f>($B$4*B246)</f>
        <v>346000</v>
      </c>
      <c r="C247" s="243">
        <f>$B$4*C246</f>
        <v>4118.2857142857147</v>
      </c>
      <c r="D247" s="243">
        <f>$B$4*D246</f>
        <v>4266.1387809523803</v>
      </c>
      <c r="E247" s="243">
        <f t="shared" ref="E247:V247" si="77">$B$4*E246</f>
        <v>4414.0124914590469</v>
      </c>
      <c r="F247" s="243">
        <f t="shared" si="77"/>
        <v>4561.9069614112177</v>
      </c>
      <c r="G247" s="243">
        <f t="shared" si="77"/>
        <v>22009.822307061786</v>
      </c>
      <c r="H247" s="243">
        <f t="shared" si="77"/>
        <v>4857.758645314666</v>
      </c>
      <c r="I247" s="243">
        <f t="shared" si="77"/>
        <v>5005.716093728427</v>
      </c>
      <c r="J247" s="243">
        <f t="shared" si="77"/>
        <v>5153.6947705199727</v>
      </c>
      <c r="K247" s="243">
        <f t="shared" si="77"/>
        <v>5301.6947945682186</v>
      </c>
      <c r="L247" s="243">
        <f t="shared" si="77"/>
        <v>40049.716285417802</v>
      </c>
      <c r="M247" s="243">
        <f t="shared" si="77"/>
        <v>5597.7593632828057</v>
      </c>
      <c r="N247" s="243">
        <f t="shared" si="77"/>
        <v>5745.8241490505225</v>
      </c>
      <c r="O247" s="243">
        <f t="shared" si="77"/>
        <v>5893.9107642852059</v>
      </c>
      <c r="P247" s="243">
        <f t="shared" si="77"/>
        <v>6042.0193312318697</v>
      </c>
      <c r="Q247" s="250">
        <f t="shared" si="77"/>
        <v>231090.1499728201</v>
      </c>
      <c r="R247" s="251">
        <f t="shared" si="77"/>
        <v>6338.3028126678946</v>
      </c>
      <c r="S247" s="243">
        <f t="shared" si="77"/>
        <v>6486.4779750855005</v>
      </c>
      <c r="T247" s="243">
        <f t="shared" si="77"/>
        <v>6634.6755850793115</v>
      </c>
      <c r="U247" s="243">
        <f t="shared" si="77"/>
        <v>6782.8957683557564</v>
      </c>
      <c r="V247" s="265">
        <f t="shared" si="77"/>
        <v>41531.138651325215</v>
      </c>
      <c r="W247" s="243">
        <f>$B$4*W246</f>
        <v>7079.4043611059687</v>
      </c>
      <c r="X247" s="243">
        <f>$B$4*X246</f>
        <v>7227.6930255281632</v>
      </c>
      <c r="Y247" s="243">
        <f>$B$4*Y246</f>
        <v>7376.0047731377863</v>
      </c>
      <c r="Z247" s="243">
        <f>$B$4*Z246</f>
        <v>7524.3397332006907</v>
      </c>
      <c r="AA247" s="32">
        <f>$B$4*AA246</f>
        <v>7672.6980357066141</v>
      </c>
    </row>
    <row r="248" spans="1:27" ht="17" thickTop="1" thickBot="1">
      <c r="A248" s="236"/>
      <c r="B248" s="28" t="s">
        <v>98</v>
      </c>
      <c r="C248" s="29" t="s">
        <v>91</v>
      </c>
      <c r="D248" s="30" t="s">
        <v>92</v>
      </c>
      <c r="E248" s="205"/>
      <c r="F248" s="205"/>
      <c r="G248" s="205"/>
      <c r="H248" s="205"/>
      <c r="I248" s="205"/>
      <c r="J248" s="205"/>
      <c r="K248" s="205"/>
      <c r="L248" s="205"/>
      <c r="M248" s="205"/>
      <c r="N248" s="263"/>
      <c r="O248" s="263"/>
      <c r="P248" s="263"/>
      <c r="Q248" s="263"/>
      <c r="R248" s="263"/>
      <c r="S248" s="263"/>
      <c r="T248" s="263"/>
      <c r="U248" s="263"/>
      <c r="V248" s="263"/>
      <c r="W248" s="263"/>
      <c r="X248" s="263"/>
      <c r="Y248" s="263"/>
      <c r="Z248" s="263"/>
      <c r="AA248" s="263"/>
    </row>
    <row r="249" spans="1:27" ht="16">
      <c r="A249" s="6" t="s">
        <v>36</v>
      </c>
      <c r="B249" s="206">
        <f>NPV($B$5,C246,D246:Q246)+B246-(Q233/((1+B227)^15))</f>
        <v>341.36793752111026</v>
      </c>
      <c r="C249" s="207">
        <f>NPV($B$5,C246,D246:V246)+B246-(V233/((1+B227)^20))</f>
        <v>424.46949416597454</v>
      </c>
      <c r="D249" s="31">
        <f>NPV($B$5,C246,D246:AA246)+B246-(AA233/((1+B227)^25))</f>
        <v>487.96847311063891</v>
      </c>
      <c r="E249" s="208"/>
      <c r="F249" s="5"/>
      <c r="G249" s="5"/>
      <c r="H249" s="5"/>
      <c r="I249" s="5"/>
      <c r="J249" s="5"/>
      <c r="K249" s="5"/>
      <c r="L249" s="5"/>
      <c r="M249" s="5"/>
      <c r="N249" s="5"/>
      <c r="O249" s="5"/>
      <c r="P249" s="5"/>
      <c r="Q249" s="5"/>
      <c r="R249" s="5"/>
      <c r="S249" s="5"/>
      <c r="T249" s="5"/>
      <c r="U249" s="5"/>
      <c r="V249" s="5"/>
      <c r="W249" s="5"/>
      <c r="X249" s="4"/>
      <c r="Y249" s="4"/>
      <c r="Z249" s="4"/>
      <c r="AA249" s="4"/>
    </row>
    <row r="250" spans="1:27">
      <c r="A250" s="264" t="s">
        <v>37</v>
      </c>
      <c r="B250" s="210">
        <f>(NPV(B227,C247,D247:Q247))+B247-(Q233*$B$4/(1+B227)^15)</f>
        <v>341367.93752111029</v>
      </c>
      <c r="C250" s="211">
        <f>(NPV(B227,C247,D247:V247))+B247-(V233*$B$4/(1+B227)^20)</f>
        <v>424469.49416597467</v>
      </c>
      <c r="D250" s="212">
        <f>(NPV(B227,C247,D247:AA247))+B247-(AA233*$B$4/(1+B227)^25)</f>
        <v>487968.47311063891</v>
      </c>
      <c r="E250" s="213"/>
      <c r="F250" s="213"/>
      <c r="G250" s="213"/>
      <c r="H250" s="214"/>
      <c r="I250" s="23"/>
      <c r="J250" s="23"/>
      <c r="K250" s="23"/>
      <c r="L250" s="23"/>
      <c r="M250" s="23"/>
      <c r="N250" s="23"/>
      <c r="O250" s="23"/>
      <c r="P250" s="23"/>
      <c r="Q250" s="23"/>
      <c r="R250" s="23"/>
      <c r="S250" s="23"/>
      <c r="T250" s="23"/>
      <c r="U250" s="23"/>
      <c r="V250" s="23"/>
      <c r="W250" s="23"/>
      <c r="X250" s="4"/>
      <c r="Y250" s="4"/>
      <c r="Z250" s="4"/>
      <c r="AA250" s="4"/>
    </row>
    <row r="251" spans="1:27">
      <c r="A251" s="209" t="s">
        <v>85</v>
      </c>
      <c r="B251" s="210">
        <f>NPV(B227,C235,D235:Q235)+B235-(Q233*$B$4/(1+B227)^15)</f>
        <v>289258.84748570283</v>
      </c>
      <c r="C251" s="211">
        <f>NPV(B227,C235,D235:V235)+B235-(V233*$B$4/(1+B227)^20)</f>
        <v>358573.38553901541</v>
      </c>
      <c r="D251" s="212">
        <f>NPV(B227,C235,D235:AA235)+B235-(AA233*$B$4/(1+B227)^25)</f>
        <v>410060.23961379635</v>
      </c>
      <c r="E251" s="213"/>
      <c r="F251" s="213"/>
      <c r="G251" s="213"/>
      <c r="H251" s="214"/>
      <c r="I251" s="23"/>
      <c r="J251" s="23"/>
      <c r="K251" s="23"/>
      <c r="L251" s="23"/>
      <c r="M251" s="23"/>
      <c r="N251" s="23"/>
      <c r="O251" s="23"/>
      <c r="P251" s="23"/>
      <c r="Q251" s="23"/>
      <c r="R251" s="23"/>
      <c r="S251" s="23"/>
      <c r="T251" s="23"/>
      <c r="U251" s="23"/>
      <c r="V251" s="23"/>
      <c r="W251" s="23"/>
      <c r="X251" s="4"/>
      <c r="Y251" s="4"/>
      <c r="Z251" s="4"/>
      <c r="AA251" s="4"/>
    </row>
    <row r="252" spans="1:27">
      <c r="A252" s="209" t="s">
        <v>86</v>
      </c>
      <c r="B252" s="210">
        <f>NPV(B227,C239,D239:Q239)+B239</f>
        <v>45037.641329757738</v>
      </c>
      <c r="C252" s="211">
        <f>NPV(B227,C239,D239:V239)+B239</f>
        <v>57317.994093835558</v>
      </c>
      <c r="D252" s="212">
        <f>NPV(B227,C239,D239:AA239)+B239</f>
        <v>68116.180237396809</v>
      </c>
      <c r="E252" s="213"/>
      <c r="F252" s="213"/>
      <c r="G252" s="213"/>
      <c r="H252" s="214"/>
      <c r="I252" s="23"/>
      <c r="J252" s="23"/>
      <c r="K252" s="23"/>
      <c r="L252" s="23"/>
      <c r="M252" s="23"/>
      <c r="N252" s="23"/>
      <c r="O252" s="23"/>
      <c r="P252" s="23"/>
      <c r="Q252" s="23"/>
      <c r="R252" s="23"/>
      <c r="S252" s="23"/>
      <c r="T252" s="23"/>
      <c r="U252" s="23"/>
      <c r="V252" s="23"/>
      <c r="W252" s="23"/>
      <c r="X252" s="4"/>
      <c r="Y252" s="4"/>
      <c r="Z252" s="4"/>
      <c r="AA252" s="4"/>
    </row>
    <row r="253" spans="1:27">
      <c r="A253" s="209" t="s">
        <v>90</v>
      </c>
      <c r="B253" s="210">
        <f>NPV(B227,C244,D244:Q244)+B244</f>
        <v>7071.4487056497301</v>
      </c>
      <c r="C253" s="211">
        <f>NPV(B227,C244,D244:V244)+B244</f>
        <v>8578.1145331235512</v>
      </c>
      <c r="D253" s="212">
        <f>NPV(B227,C244,D244:AA244)+B244</f>
        <v>9792.0532594457763</v>
      </c>
      <c r="E253" s="213"/>
      <c r="F253" s="213"/>
      <c r="G253" s="213"/>
      <c r="H253" s="214"/>
      <c r="I253" s="23"/>
      <c r="J253" s="23"/>
      <c r="K253" s="23"/>
      <c r="L253" s="23"/>
      <c r="M253" s="23"/>
      <c r="N253" s="23"/>
      <c r="O253" s="23"/>
      <c r="P253" s="23"/>
      <c r="Q253" s="23"/>
      <c r="R253" s="23"/>
      <c r="S253" s="23"/>
      <c r="T253" s="23"/>
      <c r="U253" s="23"/>
      <c r="V253" s="23"/>
      <c r="W253" s="23"/>
      <c r="X253" s="4"/>
      <c r="Y253" s="4"/>
      <c r="Z253" s="4"/>
      <c r="AA253" s="4"/>
    </row>
    <row r="254" spans="1:27" s="1" customFormat="1" ht="16" thickBot="1">
      <c r="A254" s="215" t="s">
        <v>303</v>
      </c>
      <c r="B254" s="216">
        <f>((Q233-Q232)/(1+B227)^15)*$B$4</f>
        <v>91537.553766711731</v>
      </c>
      <c r="C254" s="217">
        <f>((V233-V232)/(1+B227)^20)*$B$4</f>
        <v>130403.76107405833</v>
      </c>
      <c r="D254" s="218">
        <f>(AA233/(1+B227)^25)*$B$4</f>
        <v>91957.283106683259</v>
      </c>
      <c r="E254" s="219"/>
      <c r="F254" s="219"/>
      <c r="G254" s="219"/>
      <c r="H254" s="23"/>
      <c r="I254" s="23"/>
      <c r="J254" s="23"/>
      <c r="K254" s="23"/>
      <c r="L254" s="23"/>
      <c r="M254" s="23"/>
      <c r="N254" s="23"/>
      <c r="O254" s="23"/>
      <c r="P254" s="23"/>
      <c r="Q254" s="23"/>
      <c r="R254" s="23"/>
      <c r="S254" s="23"/>
      <c r="T254" s="23"/>
      <c r="U254" s="23"/>
      <c r="V254" s="23"/>
      <c r="W254" s="23"/>
      <c r="X254" s="3"/>
      <c r="Y254" s="3"/>
      <c r="Z254" s="3"/>
      <c r="AA254" s="3"/>
    </row>
    <row r="255" spans="1:27" ht="16" thickTop="1">
      <c r="A255" s="4"/>
      <c r="B255" s="480"/>
      <c r="C255" s="480"/>
      <c r="D255" s="480"/>
      <c r="E255" s="5"/>
      <c r="F255" s="5"/>
      <c r="G255" s="5"/>
      <c r="H255" s="5"/>
      <c r="I255" s="5"/>
      <c r="J255" s="5"/>
      <c r="K255" s="5"/>
      <c r="L255" s="5"/>
      <c r="M255" s="5"/>
      <c r="N255" s="5"/>
      <c r="O255" s="5"/>
      <c r="P255" s="5"/>
      <c r="Q255" s="5"/>
      <c r="R255" s="5"/>
      <c r="S255" s="5"/>
      <c r="T255" s="5"/>
      <c r="U255" s="5"/>
      <c r="V255" s="4"/>
      <c r="W255" s="4"/>
      <c r="X255" s="4"/>
      <c r="Y255" s="4"/>
      <c r="Z255" s="4"/>
      <c r="AA255" s="4"/>
    </row>
    <row r="256" spans="1:27" ht="16" thickBot="1">
      <c r="A256" s="4"/>
      <c r="B256" s="481"/>
      <c r="C256" s="13"/>
      <c r="D256" s="486"/>
      <c r="E256" s="5"/>
      <c r="F256" s="5"/>
      <c r="G256" s="5"/>
      <c r="H256" s="5"/>
      <c r="I256" s="5"/>
      <c r="J256" s="5"/>
      <c r="K256" s="5"/>
      <c r="L256" s="5"/>
      <c r="M256" s="5"/>
      <c r="N256" s="5"/>
      <c r="O256" s="5"/>
      <c r="P256" s="5"/>
      <c r="Q256" s="5"/>
      <c r="R256" s="5"/>
      <c r="S256" s="5"/>
      <c r="T256" s="5"/>
      <c r="U256" s="5"/>
      <c r="V256" s="5"/>
      <c r="W256" s="4"/>
      <c r="X256" s="4"/>
      <c r="Y256" s="4"/>
      <c r="Z256" s="4"/>
      <c r="AA256" s="4"/>
    </row>
    <row r="257" spans="1:27" ht="35" customHeight="1" thickTop="1" thickBot="1">
      <c r="A257" s="1014" t="s">
        <v>349</v>
      </c>
      <c r="B257" s="1015"/>
      <c r="C257" s="220"/>
      <c r="D257" s="149"/>
      <c r="E257" s="149"/>
      <c r="F257" s="149"/>
      <c r="G257" s="149"/>
      <c r="H257" s="149"/>
      <c r="I257" s="149"/>
      <c r="J257" s="149"/>
      <c r="K257" s="149"/>
      <c r="L257" s="149"/>
      <c r="M257" s="149"/>
      <c r="N257" s="149"/>
      <c r="O257" s="149"/>
      <c r="P257" s="149"/>
      <c r="Q257" s="149"/>
      <c r="R257" s="149"/>
      <c r="S257" s="149"/>
      <c r="T257" s="149"/>
      <c r="U257" s="149"/>
      <c r="V257" s="149"/>
      <c r="W257" s="4"/>
      <c r="X257" s="4"/>
      <c r="Y257" s="4"/>
      <c r="Z257" s="4"/>
      <c r="AA257" s="4"/>
    </row>
    <row r="258" spans="1:27">
      <c r="A258" s="150" t="s">
        <v>83</v>
      </c>
      <c r="B258" s="657">
        <f>IF(Inputs!E29="No","",Inputs!$D$16)</f>
        <v>0.18239999999999998</v>
      </c>
      <c r="C258" s="152" t="s">
        <v>193</v>
      </c>
      <c r="D258" s="255"/>
      <c r="E258" s="149"/>
      <c r="F258" s="149"/>
      <c r="G258" s="149"/>
      <c r="H258" s="149"/>
      <c r="I258" s="149"/>
      <c r="J258" s="149"/>
      <c r="K258" s="149"/>
      <c r="L258" s="149"/>
      <c r="M258" s="149"/>
      <c r="N258" s="149"/>
      <c r="O258" s="149"/>
      <c r="P258" s="149"/>
      <c r="Q258" s="149"/>
      <c r="R258" s="149"/>
      <c r="S258" s="149"/>
      <c r="T258" s="149"/>
      <c r="U258" s="149"/>
      <c r="V258" s="149"/>
      <c r="W258" s="4"/>
      <c r="X258" s="4"/>
      <c r="Y258" s="4"/>
      <c r="Z258" s="4"/>
      <c r="AA258" s="4"/>
    </row>
    <row r="259" spans="1:27">
      <c r="A259" s="150" t="s">
        <v>221</v>
      </c>
      <c r="B259" s="151">
        <f>'Regional Fuel Costs'!C49</f>
        <v>5.5999999999999999E-3</v>
      </c>
      <c r="C259" s="152" t="s">
        <v>193</v>
      </c>
      <c r="D259" s="255"/>
      <c r="E259" s="149"/>
      <c r="F259" s="149"/>
      <c r="G259" s="149"/>
      <c r="H259" s="149"/>
      <c r="I259" s="149"/>
      <c r="J259" s="149"/>
      <c r="K259" s="149"/>
      <c r="L259" s="149"/>
      <c r="M259" s="149"/>
      <c r="N259" s="149"/>
      <c r="O259" s="149"/>
      <c r="P259" s="149"/>
      <c r="Q259" s="149"/>
      <c r="R259" s="149"/>
      <c r="S259" s="149"/>
      <c r="T259" s="149"/>
      <c r="U259" s="149"/>
      <c r="V259" s="149"/>
      <c r="W259" s="4"/>
      <c r="X259" s="4"/>
      <c r="Y259" s="4"/>
      <c r="Z259" s="4"/>
      <c r="AA259" s="4"/>
    </row>
    <row r="260" spans="1:27" ht="16">
      <c r="A260" s="150" t="s">
        <v>412</v>
      </c>
      <c r="B260" s="658">
        <f>Inputs!$D$11</f>
        <v>12</v>
      </c>
      <c r="C260" s="154" t="s">
        <v>290</v>
      </c>
      <c r="D260" s="255"/>
      <c r="E260" s="149"/>
      <c r="F260" s="149"/>
      <c r="G260" s="149"/>
      <c r="H260" s="149"/>
      <c r="I260" s="149"/>
      <c r="J260" s="149"/>
      <c r="K260" s="149"/>
      <c r="L260" s="149"/>
      <c r="M260" s="149"/>
      <c r="N260" s="149"/>
      <c r="O260" s="149"/>
      <c r="P260" s="149"/>
      <c r="Q260" s="149"/>
      <c r="R260" s="149"/>
      <c r="S260" s="149"/>
      <c r="T260" s="149"/>
      <c r="U260" s="149"/>
      <c r="V260" s="149"/>
      <c r="W260" s="4"/>
      <c r="X260" s="4"/>
      <c r="Y260" s="4"/>
      <c r="Z260" s="4"/>
      <c r="AA260" s="4"/>
    </row>
    <row r="261" spans="1:27">
      <c r="A261" s="150" t="s">
        <v>188</v>
      </c>
      <c r="B261" s="658">
        <f>Inputs!K29</f>
        <v>3.5</v>
      </c>
      <c r="C261" s="155" t="s">
        <v>196</v>
      </c>
      <c r="D261" s="255"/>
      <c r="E261" s="149"/>
      <c r="F261" s="149"/>
      <c r="G261" s="149"/>
      <c r="H261" s="149"/>
      <c r="I261" s="149"/>
      <c r="J261" s="149"/>
      <c r="K261" s="149"/>
      <c r="L261" s="149"/>
      <c r="M261" s="149"/>
      <c r="N261" s="149"/>
      <c r="O261" s="149"/>
      <c r="P261" s="149"/>
      <c r="Q261" s="149"/>
      <c r="R261" s="149"/>
      <c r="S261" s="149"/>
      <c r="T261" s="149"/>
      <c r="U261" s="149"/>
      <c r="V261" s="149"/>
      <c r="W261" s="4"/>
      <c r="X261" s="4"/>
      <c r="Y261" s="4"/>
      <c r="Z261" s="4"/>
      <c r="AA261" s="4"/>
    </row>
    <row r="262" spans="1:27">
      <c r="A262" s="150" t="s">
        <v>187</v>
      </c>
      <c r="B262" s="156">
        <f>'System Efficiencies'!C10</f>
        <v>0.93</v>
      </c>
      <c r="C262" s="155" t="s">
        <v>196</v>
      </c>
      <c r="D262" s="255"/>
      <c r="E262" s="149"/>
      <c r="F262" s="149"/>
      <c r="G262" s="149"/>
      <c r="H262" s="149"/>
      <c r="I262" s="149"/>
      <c r="J262" s="149"/>
      <c r="K262" s="149"/>
      <c r="L262" s="149"/>
      <c r="M262" s="149"/>
      <c r="N262" s="149"/>
      <c r="O262" s="149"/>
      <c r="P262" s="149"/>
      <c r="Q262" s="149"/>
      <c r="R262" s="149"/>
      <c r="S262" s="149"/>
      <c r="T262" s="149"/>
      <c r="U262" s="149"/>
      <c r="V262" s="149"/>
      <c r="W262" s="4"/>
      <c r="X262" s="4"/>
      <c r="Y262" s="4"/>
      <c r="Z262" s="4"/>
      <c r="AA262" s="4"/>
    </row>
    <row r="263" spans="1:27">
      <c r="A263" s="150" t="s">
        <v>189</v>
      </c>
      <c r="B263" s="659">
        <f>B261*B262</f>
        <v>3.2550000000000003</v>
      </c>
      <c r="C263" s="155" t="s">
        <v>196</v>
      </c>
      <c r="D263" s="255"/>
      <c r="E263" s="149"/>
      <c r="F263" s="149"/>
      <c r="G263" s="149"/>
      <c r="H263" s="149"/>
      <c r="I263" s="149"/>
      <c r="J263" s="149"/>
      <c r="K263" s="149"/>
      <c r="L263" s="149"/>
      <c r="M263" s="149"/>
      <c r="N263" s="149"/>
      <c r="O263" s="149"/>
      <c r="P263" s="149"/>
      <c r="Q263" s="149"/>
      <c r="R263" s="149"/>
      <c r="S263" s="149"/>
      <c r="T263" s="149"/>
      <c r="U263" s="149"/>
      <c r="V263" s="149"/>
      <c r="W263" s="4"/>
      <c r="X263" s="4"/>
      <c r="Y263" s="4"/>
      <c r="Z263" s="4"/>
      <c r="AA263" s="4"/>
    </row>
    <row r="264" spans="1:27" ht="16">
      <c r="A264" s="256" t="s">
        <v>413</v>
      </c>
      <c r="B264" s="658">
        <f>IF(Inputs!C8="No",0,Inputs!$D$13)</f>
        <v>0</v>
      </c>
      <c r="C264" s="154" t="s">
        <v>290</v>
      </c>
      <c r="D264" s="255"/>
      <c r="E264" s="149"/>
      <c r="F264" s="149"/>
      <c r="G264" s="149"/>
      <c r="H264" s="149"/>
      <c r="I264" s="149"/>
      <c r="J264" s="149"/>
      <c r="K264" s="149"/>
      <c r="L264" s="149"/>
      <c r="M264" s="149"/>
      <c r="N264" s="149"/>
      <c r="O264" s="149"/>
      <c r="P264" s="149"/>
      <c r="Q264" s="149"/>
      <c r="R264" s="149"/>
      <c r="S264" s="149"/>
      <c r="T264" s="149"/>
      <c r="U264" s="149"/>
      <c r="V264" s="149"/>
      <c r="W264" s="4"/>
      <c r="X264" s="4"/>
      <c r="Y264" s="4"/>
      <c r="Z264" s="4"/>
      <c r="AA264" s="4"/>
    </row>
    <row r="265" spans="1:27">
      <c r="A265" s="256" t="s">
        <v>190</v>
      </c>
      <c r="B265" s="658" t="str">
        <f>Inputs!M29</f>
        <v>N/A</v>
      </c>
      <c r="C265" s="155" t="s">
        <v>196</v>
      </c>
      <c r="D265" s="255"/>
      <c r="E265" s="149"/>
      <c r="F265" s="149"/>
      <c r="G265" s="149"/>
      <c r="H265" s="149"/>
      <c r="I265" s="149"/>
      <c r="J265" s="149"/>
      <c r="K265" s="149"/>
      <c r="L265" s="149"/>
      <c r="M265" s="149"/>
      <c r="N265" s="149"/>
      <c r="O265" s="149"/>
      <c r="P265" s="149"/>
      <c r="Q265" s="149"/>
      <c r="R265" s="149"/>
      <c r="S265" s="149"/>
      <c r="T265" s="149"/>
      <c r="U265" s="149"/>
      <c r="V265" s="149"/>
      <c r="W265" s="4"/>
      <c r="X265" s="4"/>
      <c r="Y265" s="4"/>
      <c r="Z265" s="4"/>
      <c r="AA265" s="4"/>
    </row>
    <row r="266" spans="1:27">
      <c r="A266" s="256" t="s">
        <v>191</v>
      </c>
      <c r="B266" s="156">
        <f>'System Efficiencies'!C11</f>
        <v>0.93</v>
      </c>
      <c r="C266" s="155" t="s">
        <v>196</v>
      </c>
      <c r="D266" s="255"/>
      <c r="E266" s="149"/>
      <c r="F266" s="149"/>
      <c r="G266" s="149"/>
      <c r="H266" s="149"/>
      <c r="I266" s="149"/>
      <c r="J266" s="149"/>
      <c r="K266" s="149"/>
      <c r="L266" s="149"/>
      <c r="M266" s="149"/>
      <c r="N266" s="149"/>
      <c r="O266" s="149"/>
      <c r="P266" s="149"/>
      <c r="Q266" s="149"/>
      <c r="R266" s="149"/>
      <c r="S266" s="149"/>
      <c r="T266" s="149"/>
      <c r="U266" s="149"/>
      <c r="V266" s="149"/>
      <c r="W266" s="4"/>
      <c r="X266" s="4"/>
      <c r="Y266" s="4"/>
      <c r="Z266" s="4"/>
      <c r="AA266" s="4"/>
    </row>
    <row r="267" spans="1:27">
      <c r="A267" s="256" t="s">
        <v>192</v>
      </c>
      <c r="B267" s="659" t="e">
        <f>B265*B266</f>
        <v>#VALUE!</v>
      </c>
      <c r="C267" s="155" t="s">
        <v>196</v>
      </c>
      <c r="D267" s="255"/>
      <c r="E267" s="149"/>
      <c r="F267" s="149"/>
      <c r="G267" s="149"/>
      <c r="H267" s="149"/>
      <c r="I267" s="149"/>
      <c r="J267" s="149"/>
      <c r="K267" s="149"/>
      <c r="L267" s="149"/>
      <c r="M267" s="149"/>
      <c r="N267" s="149"/>
      <c r="O267" s="149"/>
      <c r="P267" s="149"/>
      <c r="Q267" s="149"/>
      <c r="R267" s="149"/>
      <c r="S267" s="149"/>
      <c r="T267" s="149"/>
      <c r="U267" s="149"/>
      <c r="V267" s="149"/>
      <c r="W267" s="4"/>
      <c r="X267" s="4"/>
      <c r="Y267" s="4"/>
      <c r="Z267" s="4"/>
      <c r="AA267" s="4"/>
    </row>
    <row r="268" spans="1:27" ht="16">
      <c r="A268" s="150" t="s">
        <v>82</v>
      </c>
      <c r="B268" s="658">
        <f>Inputs!I29</f>
        <v>205</v>
      </c>
      <c r="C268" s="157" t="s">
        <v>195</v>
      </c>
      <c r="D268" s="255"/>
      <c r="E268" s="149"/>
      <c r="F268" s="149"/>
      <c r="G268" s="149"/>
      <c r="H268" s="149"/>
      <c r="I268" s="149"/>
      <c r="J268" s="149"/>
      <c r="K268" s="149"/>
      <c r="L268" s="149"/>
      <c r="M268" s="149"/>
      <c r="N268" s="149"/>
      <c r="O268" s="149"/>
      <c r="P268" s="149"/>
      <c r="Q268" s="149"/>
      <c r="R268" s="257"/>
      <c r="S268" s="257"/>
      <c r="T268" s="257"/>
      <c r="U268" s="257"/>
      <c r="V268" s="258"/>
      <c r="W268" s="258"/>
      <c r="X268" s="258"/>
      <c r="Y268" s="258"/>
      <c r="Z268" s="258"/>
      <c r="AA268" s="258"/>
    </row>
    <row r="269" spans="1:27">
      <c r="A269" s="150" t="s">
        <v>81</v>
      </c>
      <c r="B269" s="153">
        <f>'Capital Cost Structure'!E50</f>
        <v>10</v>
      </c>
      <c r="C269" s="157" t="s">
        <v>195</v>
      </c>
      <c r="D269" s="255"/>
      <c r="E269" s="149"/>
      <c r="F269" s="149"/>
      <c r="G269" s="149"/>
      <c r="H269" s="149"/>
      <c r="I269" s="149"/>
      <c r="J269" s="149"/>
      <c r="K269" s="149"/>
      <c r="L269" s="149"/>
      <c r="M269" s="149"/>
      <c r="N269" s="149"/>
      <c r="O269" s="149"/>
      <c r="P269" s="149"/>
      <c r="Q269" s="149"/>
      <c r="R269" s="149"/>
      <c r="S269" s="149"/>
      <c r="T269" s="149"/>
      <c r="U269" s="149"/>
      <c r="V269" s="149"/>
      <c r="W269" s="4"/>
      <c r="X269" s="4"/>
      <c r="Y269" s="4"/>
      <c r="Z269" s="4"/>
      <c r="AA269" s="4"/>
    </row>
    <row r="270" spans="1:27">
      <c r="A270" s="150" t="s">
        <v>32</v>
      </c>
      <c r="B270" s="156">
        <f>$B$5</f>
        <v>0.05</v>
      </c>
      <c r="C270" s="248" t="s">
        <v>194</v>
      </c>
      <c r="D270" s="255"/>
      <c r="E270" s="149"/>
      <c r="F270" s="149"/>
      <c r="G270" s="149"/>
      <c r="H270" s="149"/>
      <c r="I270" s="149"/>
      <c r="J270" s="149"/>
      <c r="K270" s="149"/>
      <c r="L270" s="149"/>
      <c r="M270" s="149"/>
      <c r="N270" s="149"/>
      <c r="O270" s="149"/>
      <c r="P270" s="149"/>
      <c r="Q270" s="149"/>
      <c r="R270" s="149"/>
      <c r="S270" s="149"/>
      <c r="T270" s="149"/>
      <c r="U270" s="149"/>
      <c r="V270" s="149"/>
      <c r="W270" s="4"/>
      <c r="X270" s="4"/>
      <c r="Y270" s="4"/>
      <c r="Z270" s="4"/>
      <c r="AA270" s="4"/>
    </row>
    <row r="271" spans="1:27" ht="16" thickBot="1">
      <c r="A271" s="159" t="s">
        <v>405</v>
      </c>
      <c r="B271" s="547">
        <f>Inputs!F29</f>
        <v>0</v>
      </c>
      <c r="C271" s="249" t="s">
        <v>194</v>
      </c>
      <c r="D271" s="160"/>
      <c r="E271" s="161"/>
      <c r="F271" s="161"/>
      <c r="G271" s="161"/>
      <c r="H271" s="161"/>
      <c r="I271" s="161"/>
      <c r="J271" s="161"/>
      <c r="K271" s="161"/>
      <c r="L271" s="161"/>
      <c r="M271" s="161"/>
      <c r="N271" s="161"/>
      <c r="O271" s="161"/>
      <c r="P271" s="161"/>
      <c r="Q271" s="161"/>
      <c r="R271" s="161"/>
      <c r="S271" s="161"/>
      <c r="T271" s="161"/>
      <c r="U271" s="161"/>
      <c r="V271" s="161"/>
      <c r="W271" s="4"/>
      <c r="X271" s="4"/>
      <c r="Y271" s="4"/>
      <c r="Z271" s="4"/>
      <c r="AA271" s="4"/>
    </row>
    <row r="272" spans="1:27" ht="17" thickTop="1" thickBot="1">
      <c r="A272" s="6" t="s">
        <v>0</v>
      </c>
      <c r="B272" s="139" t="s">
        <v>51</v>
      </c>
      <c r="C272" s="117" t="s">
        <v>1</v>
      </c>
      <c r="D272" s="117" t="s">
        <v>2</v>
      </c>
      <c r="E272" s="117" t="s">
        <v>3</v>
      </c>
      <c r="F272" s="117" t="s">
        <v>4</v>
      </c>
      <c r="G272" s="117" t="s">
        <v>5</v>
      </c>
      <c r="H272" s="117" t="s">
        <v>6</v>
      </c>
      <c r="I272" s="117" t="s">
        <v>7</v>
      </c>
      <c r="J272" s="117" t="s">
        <v>8</v>
      </c>
      <c r="K272" s="117" t="s">
        <v>9</v>
      </c>
      <c r="L272" s="117" t="s">
        <v>10</v>
      </c>
      <c r="M272" s="117" t="s">
        <v>11</v>
      </c>
      <c r="N272" s="117" t="s">
        <v>12</v>
      </c>
      <c r="O272" s="117" t="s">
        <v>13</v>
      </c>
      <c r="P272" s="117" t="s">
        <v>14</v>
      </c>
      <c r="Q272" s="162" t="s">
        <v>15</v>
      </c>
      <c r="R272" s="139" t="s">
        <v>16</v>
      </c>
      <c r="S272" s="117" t="s">
        <v>17</v>
      </c>
      <c r="T272" s="117" t="s">
        <v>18</v>
      </c>
      <c r="U272" s="117" t="s">
        <v>19</v>
      </c>
      <c r="V272" s="163" t="s">
        <v>20</v>
      </c>
      <c r="W272" s="164" t="s">
        <v>93</v>
      </c>
      <c r="X272" s="165" t="s">
        <v>94</v>
      </c>
      <c r="Y272" s="165" t="s">
        <v>95</v>
      </c>
      <c r="Z272" s="165" t="s">
        <v>96</v>
      </c>
      <c r="AA272" s="166" t="s">
        <v>97</v>
      </c>
    </row>
    <row r="273" spans="1:27" ht="16">
      <c r="A273" s="167" t="s">
        <v>314</v>
      </c>
      <c r="B273" s="168">
        <f>B268*(1-Inputs!G29)</f>
        <v>205</v>
      </c>
      <c r="C273" s="169"/>
      <c r="D273" s="169"/>
      <c r="E273" s="169"/>
      <c r="F273" s="169"/>
      <c r="G273" s="169"/>
      <c r="H273" s="169"/>
      <c r="I273" s="169"/>
      <c r="J273" s="169"/>
      <c r="K273" s="169"/>
      <c r="L273" s="169"/>
      <c r="M273" s="169"/>
      <c r="N273" s="169"/>
      <c r="O273" s="169"/>
      <c r="P273" s="169"/>
      <c r="Q273" s="170"/>
      <c r="R273" s="171"/>
      <c r="S273" s="169"/>
      <c r="T273" s="169"/>
      <c r="U273" s="169"/>
      <c r="V273" s="172"/>
      <c r="W273" s="169"/>
      <c r="X273" s="169"/>
      <c r="Y273" s="169"/>
      <c r="Z273" s="169"/>
      <c r="AA273" s="173"/>
    </row>
    <row r="274" spans="1:27">
      <c r="A274" s="209" t="s">
        <v>270</v>
      </c>
      <c r="B274" s="139"/>
      <c r="C274" s="7"/>
      <c r="D274" s="7"/>
      <c r="E274" s="7"/>
      <c r="F274" s="7"/>
      <c r="G274" s="117"/>
      <c r="H274" s="7"/>
      <c r="I274" s="7"/>
      <c r="J274" s="7"/>
      <c r="K274" s="7"/>
      <c r="L274" s="558" t="s">
        <v>365</v>
      </c>
      <c r="M274" s="7"/>
      <c r="N274" s="7"/>
      <c r="O274" s="7"/>
      <c r="P274" s="7"/>
      <c r="Q274" s="162"/>
      <c r="R274" s="174"/>
      <c r="S274" s="7"/>
      <c r="T274" s="7"/>
      <c r="U274" s="7"/>
      <c r="V274" s="267" t="s">
        <v>365</v>
      </c>
      <c r="W274" s="7"/>
      <c r="X274" s="7"/>
      <c r="Y274" s="7"/>
      <c r="Z274" s="7"/>
      <c r="AA274" s="175"/>
    </row>
    <row r="275" spans="1:27" ht="16">
      <c r="A275" s="266" t="s">
        <v>269</v>
      </c>
      <c r="B275" s="139">
        <v>0</v>
      </c>
      <c r="C275" s="7"/>
      <c r="D275" s="7"/>
      <c r="E275" s="7"/>
      <c r="F275" s="7"/>
      <c r="G275" s="7"/>
      <c r="H275" s="7"/>
      <c r="I275" s="7"/>
      <c r="J275" s="7"/>
      <c r="K275" s="7"/>
      <c r="L275" s="651">
        <f>('Capital Cost Structure'!F50*B268)</f>
        <v>205</v>
      </c>
      <c r="M275" s="7"/>
      <c r="N275" s="7"/>
      <c r="O275" s="7"/>
      <c r="P275" s="7"/>
      <c r="Q275" s="104"/>
      <c r="R275" s="174"/>
      <c r="S275" s="7"/>
      <c r="T275" s="7"/>
      <c r="U275" s="7"/>
      <c r="V275" s="653">
        <f>('Capital Cost Structure'!F50*B268)</f>
        <v>205</v>
      </c>
      <c r="W275" s="7"/>
      <c r="X275" s="7"/>
      <c r="Y275" s="7"/>
      <c r="Z275" s="7"/>
      <c r="AA275" s="175"/>
    </row>
    <row r="276" spans="1:27">
      <c r="A276" s="209" t="s">
        <v>50</v>
      </c>
      <c r="B276" s="139">
        <f>B273</f>
        <v>205</v>
      </c>
      <c r="C276" s="177">
        <f t="shared" ref="C276:AA276" si="78">B276+C275-($B$273/$B$269)</f>
        <v>184.5</v>
      </c>
      <c r="D276" s="177">
        <f t="shared" si="78"/>
        <v>164</v>
      </c>
      <c r="E276" s="177">
        <f t="shared" si="78"/>
        <v>143.5</v>
      </c>
      <c r="F276" s="177">
        <f t="shared" si="78"/>
        <v>123</v>
      </c>
      <c r="G276" s="177">
        <f t="shared" si="78"/>
        <v>102.5</v>
      </c>
      <c r="H276" s="177">
        <f t="shared" si="78"/>
        <v>82</v>
      </c>
      <c r="I276" s="177">
        <f t="shared" si="78"/>
        <v>61.5</v>
      </c>
      <c r="J276" s="177">
        <f t="shared" si="78"/>
        <v>41</v>
      </c>
      <c r="K276" s="177">
        <f t="shared" si="78"/>
        <v>20.5</v>
      </c>
      <c r="L276" s="177">
        <f t="shared" si="78"/>
        <v>205</v>
      </c>
      <c r="M276" s="177">
        <f t="shared" si="78"/>
        <v>184.5</v>
      </c>
      <c r="N276" s="177">
        <f t="shared" si="78"/>
        <v>164</v>
      </c>
      <c r="O276" s="177">
        <f t="shared" si="78"/>
        <v>143.5</v>
      </c>
      <c r="P276" s="177">
        <f t="shared" si="78"/>
        <v>123</v>
      </c>
      <c r="Q276" s="244">
        <f t="shared" si="78"/>
        <v>102.5</v>
      </c>
      <c r="R276" s="245">
        <f t="shared" si="78"/>
        <v>82</v>
      </c>
      <c r="S276" s="177">
        <f t="shared" si="78"/>
        <v>61.5</v>
      </c>
      <c r="T276" s="177">
        <f t="shared" si="78"/>
        <v>41</v>
      </c>
      <c r="U276" s="177">
        <f t="shared" si="78"/>
        <v>20.5</v>
      </c>
      <c r="V276" s="293">
        <f t="shared" si="78"/>
        <v>205</v>
      </c>
      <c r="W276" s="177">
        <f t="shared" si="78"/>
        <v>184.5</v>
      </c>
      <c r="X276" s="177">
        <f t="shared" si="78"/>
        <v>164</v>
      </c>
      <c r="Y276" s="177">
        <f t="shared" si="78"/>
        <v>143.5</v>
      </c>
      <c r="Z276" s="177">
        <f t="shared" si="78"/>
        <v>123</v>
      </c>
      <c r="AA276" s="178">
        <f t="shared" si="78"/>
        <v>102.5</v>
      </c>
    </row>
    <row r="277" spans="1:27" ht="16">
      <c r="A277" s="180" t="s">
        <v>22</v>
      </c>
      <c r="B277" s="183">
        <f>B273+B275+(B271/$B$4)</f>
        <v>205</v>
      </c>
      <c r="C277" s="181">
        <f t="shared" ref="C277:AA277" si="79">C273+C275</f>
        <v>0</v>
      </c>
      <c r="D277" s="181">
        <f t="shared" si="79"/>
        <v>0</v>
      </c>
      <c r="E277" s="181">
        <f t="shared" si="79"/>
        <v>0</v>
      </c>
      <c r="F277" s="181">
        <f t="shared" si="79"/>
        <v>0</v>
      </c>
      <c r="G277" s="181">
        <f t="shared" si="79"/>
        <v>0</v>
      </c>
      <c r="H277" s="181">
        <f t="shared" si="79"/>
        <v>0</v>
      </c>
      <c r="I277" s="181">
        <f t="shared" si="79"/>
        <v>0</v>
      </c>
      <c r="J277" s="181">
        <f t="shared" si="79"/>
        <v>0</v>
      </c>
      <c r="K277" s="181">
        <f t="shared" si="79"/>
        <v>0</v>
      </c>
      <c r="L277" s="181">
        <f>L273+L275</f>
        <v>205</v>
      </c>
      <c r="M277" s="181">
        <f t="shared" si="79"/>
        <v>0</v>
      </c>
      <c r="N277" s="181">
        <f t="shared" si="79"/>
        <v>0</v>
      </c>
      <c r="O277" s="181">
        <f t="shared" si="79"/>
        <v>0</v>
      </c>
      <c r="P277" s="181">
        <f t="shared" si="79"/>
        <v>0</v>
      </c>
      <c r="Q277" s="182">
        <f t="shared" si="79"/>
        <v>0</v>
      </c>
      <c r="R277" s="183">
        <f t="shared" si="79"/>
        <v>0</v>
      </c>
      <c r="S277" s="181">
        <f t="shared" si="79"/>
        <v>0</v>
      </c>
      <c r="T277" s="181">
        <f t="shared" si="79"/>
        <v>0</v>
      </c>
      <c r="U277" s="181">
        <f t="shared" si="79"/>
        <v>0</v>
      </c>
      <c r="V277" s="182">
        <f t="shared" si="79"/>
        <v>205</v>
      </c>
      <c r="W277" s="181">
        <f t="shared" si="79"/>
        <v>0</v>
      </c>
      <c r="X277" s="181">
        <f t="shared" si="79"/>
        <v>0</v>
      </c>
      <c r="Y277" s="181">
        <f t="shared" si="79"/>
        <v>0</v>
      </c>
      <c r="Z277" s="181">
        <f t="shared" si="79"/>
        <v>0</v>
      </c>
      <c r="AA277" s="182">
        <f t="shared" si="79"/>
        <v>0</v>
      </c>
    </row>
    <row r="278" spans="1:27" s="18" customFormat="1" ht="16" thickBot="1">
      <c r="A278" s="184" t="s">
        <v>87</v>
      </c>
      <c r="B278" s="185">
        <f>(B277*$B$4)</f>
        <v>205000</v>
      </c>
      <c r="C278" s="186">
        <f t="shared" ref="C278:L278" si="80">C277*$B$4</f>
        <v>0</v>
      </c>
      <c r="D278" s="186">
        <f t="shared" si="80"/>
        <v>0</v>
      </c>
      <c r="E278" s="186">
        <f t="shared" si="80"/>
        <v>0</v>
      </c>
      <c r="F278" s="186">
        <f t="shared" si="80"/>
        <v>0</v>
      </c>
      <c r="G278" s="186">
        <f t="shared" si="80"/>
        <v>0</v>
      </c>
      <c r="H278" s="186">
        <f t="shared" si="80"/>
        <v>0</v>
      </c>
      <c r="I278" s="186">
        <f t="shared" si="80"/>
        <v>0</v>
      </c>
      <c r="J278" s="186">
        <f t="shared" si="80"/>
        <v>0</v>
      </c>
      <c r="K278" s="186">
        <f t="shared" si="80"/>
        <v>0</v>
      </c>
      <c r="L278" s="186">
        <f t="shared" si="80"/>
        <v>205000</v>
      </c>
      <c r="M278" s="186">
        <f t="shared" ref="M278:V278" si="81">M277*$B$4</f>
        <v>0</v>
      </c>
      <c r="N278" s="186">
        <f t="shared" si="81"/>
        <v>0</v>
      </c>
      <c r="O278" s="186">
        <f t="shared" si="81"/>
        <v>0</v>
      </c>
      <c r="P278" s="186">
        <f t="shared" si="81"/>
        <v>0</v>
      </c>
      <c r="Q278" s="187">
        <f t="shared" si="81"/>
        <v>0</v>
      </c>
      <c r="R278" s="185">
        <f t="shared" si="81"/>
        <v>0</v>
      </c>
      <c r="S278" s="186">
        <f t="shared" si="81"/>
        <v>0</v>
      </c>
      <c r="T278" s="186">
        <f t="shared" si="81"/>
        <v>0</v>
      </c>
      <c r="U278" s="186">
        <f t="shared" si="81"/>
        <v>0</v>
      </c>
      <c r="V278" s="188">
        <f t="shared" si="81"/>
        <v>205000</v>
      </c>
      <c r="W278" s="186">
        <f>W277*$B$4</f>
        <v>0</v>
      </c>
      <c r="X278" s="186">
        <f>X277*$B$4</f>
        <v>0</v>
      </c>
      <c r="Y278" s="186">
        <f>Y277*$B$4</f>
        <v>0</v>
      </c>
      <c r="Z278" s="186">
        <f>Z277*$B$4</f>
        <v>0</v>
      </c>
      <c r="AA278" s="189">
        <f>AA277*$B$4</f>
        <v>0</v>
      </c>
    </row>
    <row r="279" spans="1:27">
      <c r="A279" s="6"/>
      <c r="B279" s="139"/>
      <c r="C279" s="7"/>
      <c r="D279" s="7"/>
      <c r="E279" s="7"/>
      <c r="F279" s="7"/>
      <c r="G279" s="7"/>
      <c r="H279" s="7"/>
      <c r="I279" s="7"/>
      <c r="J279" s="7"/>
      <c r="K279" s="7"/>
      <c r="L279" s="7"/>
      <c r="M279" s="7"/>
      <c r="N279" s="7"/>
      <c r="O279" s="7"/>
      <c r="P279" s="7"/>
      <c r="Q279" s="104"/>
      <c r="R279" s="174"/>
      <c r="S279" s="7"/>
      <c r="T279" s="7"/>
      <c r="U279" s="7"/>
      <c r="V279" s="179"/>
      <c r="W279" s="7"/>
      <c r="X279" s="7"/>
      <c r="Y279" s="7"/>
      <c r="Z279" s="7"/>
      <c r="AA279" s="175"/>
    </row>
    <row r="280" spans="1:27">
      <c r="A280" s="209" t="s">
        <v>21</v>
      </c>
      <c r="B280" s="139">
        <v>0</v>
      </c>
      <c r="C280" s="17">
        <v>0.01</v>
      </c>
      <c r="D280" s="17">
        <f t="shared" ref="D280:L280" si="82">C280+(0.01/($B$269-1))</f>
        <v>1.1111111111111112E-2</v>
      </c>
      <c r="E280" s="17">
        <f t="shared" si="82"/>
        <v>1.2222222222222223E-2</v>
      </c>
      <c r="F280" s="17">
        <f t="shared" si="82"/>
        <v>1.3333333333333334E-2</v>
      </c>
      <c r="G280" s="17">
        <f t="shared" si="82"/>
        <v>1.4444444444444446E-2</v>
      </c>
      <c r="H280" s="17">
        <f t="shared" si="82"/>
        <v>1.5555555555555557E-2</v>
      </c>
      <c r="I280" s="17">
        <f t="shared" si="82"/>
        <v>1.6666666666666666E-2</v>
      </c>
      <c r="J280" s="17">
        <f t="shared" si="82"/>
        <v>1.7777777777777778E-2</v>
      </c>
      <c r="K280" s="17">
        <f t="shared" si="82"/>
        <v>1.8888888888888889E-2</v>
      </c>
      <c r="L280" s="17">
        <f t="shared" si="82"/>
        <v>0.02</v>
      </c>
      <c r="M280" s="17">
        <v>0.01</v>
      </c>
      <c r="N280" s="17">
        <f t="shared" ref="N280:V280" si="83">M280+(0.01/($B$269-1))</f>
        <v>1.1111111111111112E-2</v>
      </c>
      <c r="O280" s="17">
        <f t="shared" si="83"/>
        <v>1.2222222222222223E-2</v>
      </c>
      <c r="P280" s="17">
        <f t="shared" si="83"/>
        <v>1.3333333333333334E-2</v>
      </c>
      <c r="Q280" s="190">
        <f t="shared" si="83"/>
        <v>1.4444444444444446E-2</v>
      </c>
      <c r="R280" s="191">
        <f t="shared" si="83"/>
        <v>1.5555555555555557E-2</v>
      </c>
      <c r="S280" s="17">
        <f t="shared" si="83"/>
        <v>1.6666666666666666E-2</v>
      </c>
      <c r="T280" s="17">
        <f t="shared" si="83"/>
        <v>1.7777777777777778E-2</v>
      </c>
      <c r="U280" s="17">
        <f t="shared" si="83"/>
        <v>1.8888888888888889E-2</v>
      </c>
      <c r="V280" s="192">
        <f t="shared" si="83"/>
        <v>0.02</v>
      </c>
      <c r="W280" s="17">
        <v>0.01</v>
      </c>
      <c r="X280" s="17">
        <f>W280+(0.01/($B$269-1))</f>
        <v>1.1111111111111112E-2</v>
      </c>
      <c r="Y280" s="17">
        <f>X280+(0.01/($B$269-1))</f>
        <v>1.2222222222222223E-2</v>
      </c>
      <c r="Z280" s="17">
        <f>Y280+(0.01/($B$269-1))</f>
        <v>1.3333333333333334E-2</v>
      </c>
      <c r="AA280" s="193">
        <f>Z280+(0.01/($B$269-1))</f>
        <v>1.4444444444444446E-2</v>
      </c>
    </row>
    <row r="281" spans="1:27" ht="16">
      <c r="A281" s="180" t="s">
        <v>23</v>
      </c>
      <c r="B281" s="194">
        <f>B280*$B$268</f>
        <v>0</v>
      </c>
      <c r="C281" s="194">
        <f>C280*$B$268</f>
        <v>2.0499999999999998</v>
      </c>
      <c r="D281" s="194">
        <f t="shared" ref="D281:AA281" si="84">D280*$B$268</f>
        <v>2.2777777777777777</v>
      </c>
      <c r="E281" s="194">
        <f>E280*$B$268</f>
        <v>2.5055555555555555</v>
      </c>
      <c r="F281" s="194">
        <f t="shared" si="84"/>
        <v>2.7333333333333334</v>
      </c>
      <c r="G281" s="194">
        <f t="shared" si="84"/>
        <v>2.9611111111111112</v>
      </c>
      <c r="H281" s="194">
        <f t="shared" si="84"/>
        <v>3.1888888888888891</v>
      </c>
      <c r="I281" s="194">
        <f t="shared" si="84"/>
        <v>3.4166666666666665</v>
      </c>
      <c r="J281" s="194">
        <f t="shared" si="84"/>
        <v>3.6444444444444444</v>
      </c>
      <c r="K281" s="194">
        <f t="shared" si="84"/>
        <v>3.8722222222222222</v>
      </c>
      <c r="L281" s="194">
        <f t="shared" si="84"/>
        <v>4.0999999999999996</v>
      </c>
      <c r="M281" s="194">
        <f t="shared" si="84"/>
        <v>2.0499999999999998</v>
      </c>
      <c r="N281" s="194">
        <f>N280*$B$268</f>
        <v>2.2777777777777777</v>
      </c>
      <c r="O281" s="194">
        <f t="shared" si="84"/>
        <v>2.5055555555555555</v>
      </c>
      <c r="P281" s="194">
        <f t="shared" si="84"/>
        <v>2.7333333333333334</v>
      </c>
      <c r="Q281" s="195">
        <f t="shared" si="84"/>
        <v>2.9611111111111112</v>
      </c>
      <c r="R281" s="196">
        <f t="shared" si="84"/>
        <v>3.1888888888888891</v>
      </c>
      <c r="S281" s="194">
        <f t="shared" si="84"/>
        <v>3.4166666666666665</v>
      </c>
      <c r="T281" s="194">
        <f t="shared" si="84"/>
        <v>3.6444444444444444</v>
      </c>
      <c r="U281" s="194">
        <f t="shared" si="84"/>
        <v>3.8722222222222222</v>
      </c>
      <c r="V281" s="195">
        <f t="shared" si="84"/>
        <v>4.0999999999999996</v>
      </c>
      <c r="W281" s="194">
        <f t="shared" si="84"/>
        <v>2.0499999999999998</v>
      </c>
      <c r="X281" s="194">
        <f t="shared" si="84"/>
        <v>2.2777777777777777</v>
      </c>
      <c r="Y281" s="194">
        <f t="shared" si="84"/>
        <v>2.5055555555555555</v>
      </c>
      <c r="Z281" s="194">
        <f t="shared" si="84"/>
        <v>2.7333333333333334</v>
      </c>
      <c r="AA281" s="195">
        <f t="shared" si="84"/>
        <v>2.9611111111111112</v>
      </c>
    </row>
    <row r="282" spans="1:27" s="24" customFormat="1" ht="16" thickBot="1">
      <c r="A282" s="184" t="s">
        <v>88</v>
      </c>
      <c r="B282" s="279">
        <f t="shared" ref="B282:K282" si="85">B281*$B$4</f>
        <v>0</v>
      </c>
      <c r="C282" s="277">
        <f t="shared" si="85"/>
        <v>2050</v>
      </c>
      <c r="D282" s="277">
        <f t="shared" si="85"/>
        <v>2277.7777777777778</v>
      </c>
      <c r="E282" s="277">
        <f t="shared" si="85"/>
        <v>2505.5555555555557</v>
      </c>
      <c r="F282" s="277">
        <f t="shared" si="85"/>
        <v>2733.3333333333335</v>
      </c>
      <c r="G282" s="277">
        <f t="shared" si="85"/>
        <v>2961.1111111111113</v>
      </c>
      <c r="H282" s="277">
        <f t="shared" si="85"/>
        <v>3188.8888888888891</v>
      </c>
      <c r="I282" s="277">
        <f t="shared" si="85"/>
        <v>3416.6666666666665</v>
      </c>
      <c r="J282" s="277">
        <f t="shared" si="85"/>
        <v>3644.4444444444443</v>
      </c>
      <c r="K282" s="277">
        <f t="shared" si="85"/>
        <v>3872.2222222222222</v>
      </c>
      <c r="L282" s="277">
        <f t="shared" ref="L282:V282" si="86">L281*$B$4</f>
        <v>4100</v>
      </c>
      <c r="M282" s="277">
        <f t="shared" si="86"/>
        <v>2050</v>
      </c>
      <c r="N282" s="277">
        <f t="shared" si="86"/>
        <v>2277.7777777777778</v>
      </c>
      <c r="O282" s="277">
        <f t="shared" si="86"/>
        <v>2505.5555555555557</v>
      </c>
      <c r="P282" s="277">
        <f t="shared" si="86"/>
        <v>2733.3333333333335</v>
      </c>
      <c r="Q282" s="278">
        <f t="shared" si="86"/>
        <v>2961.1111111111113</v>
      </c>
      <c r="R282" s="279">
        <f t="shared" si="86"/>
        <v>3188.8888888888891</v>
      </c>
      <c r="S282" s="277">
        <f t="shared" si="86"/>
        <v>3416.6666666666665</v>
      </c>
      <c r="T282" s="277">
        <f t="shared" si="86"/>
        <v>3644.4444444444443</v>
      </c>
      <c r="U282" s="277">
        <f t="shared" si="86"/>
        <v>3872.2222222222222</v>
      </c>
      <c r="V282" s="280">
        <f t="shared" si="86"/>
        <v>4100</v>
      </c>
      <c r="W282" s="277">
        <f>W281*$B$4</f>
        <v>2050</v>
      </c>
      <c r="X282" s="277">
        <f>X281*$B$4</f>
        <v>2277.7777777777778</v>
      </c>
      <c r="Y282" s="277">
        <f>Y281*$B$4</f>
        <v>2505.5555555555557</v>
      </c>
      <c r="Z282" s="277">
        <f>Z281*$B$4</f>
        <v>2733.3333333333335</v>
      </c>
      <c r="AA282" s="281">
        <f>AA281*$B$4</f>
        <v>2961.1111111111113</v>
      </c>
    </row>
    <row r="283" spans="1:27">
      <c r="A283" s="199"/>
      <c r="B283" s="174"/>
      <c r="C283" s="7"/>
      <c r="D283" s="7"/>
      <c r="E283" s="7"/>
      <c r="F283" s="7"/>
      <c r="G283" s="7"/>
      <c r="H283" s="7"/>
      <c r="I283" s="7"/>
      <c r="J283" s="7"/>
      <c r="K283" s="7"/>
      <c r="L283" s="7"/>
      <c r="M283" s="7"/>
      <c r="N283" s="7"/>
      <c r="O283" s="7"/>
      <c r="P283" s="7"/>
      <c r="Q283" s="104"/>
      <c r="R283" s="174"/>
      <c r="S283" s="7"/>
      <c r="T283" s="7"/>
      <c r="U283" s="7"/>
      <c r="V283" s="179"/>
      <c r="W283" s="7"/>
      <c r="X283" s="7"/>
      <c r="Y283" s="7"/>
      <c r="Z283" s="7"/>
      <c r="AA283" s="175"/>
    </row>
    <row r="284" spans="1:27">
      <c r="A284" s="6" t="s">
        <v>25</v>
      </c>
      <c r="B284" s="139">
        <v>0</v>
      </c>
      <c r="C284" s="259">
        <f>B258</f>
        <v>0.18239999999999998</v>
      </c>
      <c r="D284" s="259">
        <f t="shared" ref="D284:AA284" si="87">C284+C285</f>
        <v>0.18342143999999999</v>
      </c>
      <c r="E284" s="259">
        <f t="shared" si="87"/>
        <v>0.18444860006399999</v>
      </c>
      <c r="F284" s="259">
        <f t="shared" si="87"/>
        <v>0.18548151222435838</v>
      </c>
      <c r="G284" s="259">
        <f t="shared" si="87"/>
        <v>0.1865202086928148</v>
      </c>
      <c r="H284" s="259">
        <f t="shared" si="87"/>
        <v>0.18756472186149456</v>
      </c>
      <c r="I284" s="259">
        <f t="shared" si="87"/>
        <v>0.18861508430391893</v>
      </c>
      <c r="J284" s="259">
        <f t="shared" si="87"/>
        <v>0.18967132877602089</v>
      </c>
      <c r="K284" s="259">
        <f t="shared" si="87"/>
        <v>0.1907334882171666</v>
      </c>
      <c r="L284" s="259">
        <f t="shared" si="87"/>
        <v>0.19180159575118272</v>
      </c>
      <c r="M284" s="259">
        <f t="shared" si="87"/>
        <v>0.19287568468738933</v>
      </c>
      <c r="N284" s="259">
        <f>M284+M285</f>
        <v>0.19395578852163872</v>
      </c>
      <c r="O284" s="259">
        <f t="shared" si="87"/>
        <v>0.19504194093735991</v>
      </c>
      <c r="P284" s="259">
        <f t="shared" si="87"/>
        <v>0.19613417580660913</v>
      </c>
      <c r="Q284" s="105">
        <f t="shared" si="87"/>
        <v>0.19723252719112613</v>
      </c>
      <c r="R284" s="260">
        <f t="shared" si="87"/>
        <v>0.19833702934339645</v>
      </c>
      <c r="S284" s="259">
        <f t="shared" si="87"/>
        <v>0.19944771670771946</v>
      </c>
      <c r="T284" s="259">
        <f t="shared" si="87"/>
        <v>0.20056462392128269</v>
      </c>
      <c r="U284" s="259">
        <f t="shared" si="87"/>
        <v>0.20168778581524188</v>
      </c>
      <c r="V284" s="261">
        <f t="shared" si="87"/>
        <v>0.20281723741580723</v>
      </c>
      <c r="W284" s="259">
        <f t="shared" si="87"/>
        <v>0.20395301394533574</v>
      </c>
      <c r="X284" s="259">
        <f t="shared" si="87"/>
        <v>0.20509515082342963</v>
      </c>
      <c r="Y284" s="259">
        <f t="shared" si="87"/>
        <v>0.20624368366804083</v>
      </c>
      <c r="Z284" s="259">
        <f t="shared" si="87"/>
        <v>0.20739864829658186</v>
      </c>
      <c r="AA284" s="262">
        <f t="shared" si="87"/>
        <v>0.20856008072704271</v>
      </c>
    </row>
    <row r="285" spans="1:27">
      <c r="A285" s="209" t="s">
        <v>248</v>
      </c>
      <c r="B285" s="139"/>
      <c r="C285" s="259">
        <f t="shared" ref="C285:AA285" si="88">C284*$B$259</f>
        <v>1.02144E-3</v>
      </c>
      <c r="D285" s="259">
        <f t="shared" si="88"/>
        <v>1.027160064E-3</v>
      </c>
      <c r="E285" s="259">
        <f t="shared" si="88"/>
        <v>1.0329121603583999E-3</v>
      </c>
      <c r="F285" s="259">
        <f t="shared" si="88"/>
        <v>1.0386964684564069E-3</v>
      </c>
      <c r="G285" s="259">
        <f t="shared" si="88"/>
        <v>1.0445131686797628E-3</v>
      </c>
      <c r="H285" s="259">
        <f t="shared" si="88"/>
        <v>1.0503624424243695E-3</v>
      </c>
      <c r="I285" s="259">
        <f t="shared" si="88"/>
        <v>1.0562444721019461E-3</v>
      </c>
      <c r="J285" s="259">
        <f t="shared" si="88"/>
        <v>1.062159441145717E-3</v>
      </c>
      <c r="K285" s="259">
        <f t="shared" si="88"/>
        <v>1.068107534016133E-3</v>
      </c>
      <c r="L285" s="259">
        <f t="shared" si="88"/>
        <v>1.0740889362066232E-3</v>
      </c>
      <c r="M285" s="259">
        <f t="shared" si="88"/>
        <v>1.0801038342493803E-3</v>
      </c>
      <c r="N285" s="259">
        <f t="shared" si="88"/>
        <v>1.0861524157211768E-3</v>
      </c>
      <c r="O285" s="259">
        <f t="shared" si="88"/>
        <v>1.0922348692492154E-3</v>
      </c>
      <c r="P285" s="259">
        <f t="shared" si="88"/>
        <v>1.0983513845170111E-3</v>
      </c>
      <c r="Q285" s="105">
        <f t="shared" si="88"/>
        <v>1.1045021522703064E-3</v>
      </c>
      <c r="R285" s="260">
        <f t="shared" si="88"/>
        <v>1.1106873643230201E-3</v>
      </c>
      <c r="S285" s="259">
        <f t="shared" si="88"/>
        <v>1.116907213563229E-3</v>
      </c>
      <c r="T285" s="259">
        <f t="shared" si="88"/>
        <v>1.1231618939591831E-3</v>
      </c>
      <c r="U285" s="259">
        <f t="shared" si="88"/>
        <v>1.1294516005653545E-3</v>
      </c>
      <c r="V285" s="261">
        <f t="shared" si="88"/>
        <v>1.1357765295285204E-3</v>
      </c>
      <c r="W285" s="259">
        <f t="shared" si="88"/>
        <v>1.1421368780938801E-3</v>
      </c>
      <c r="X285" s="259">
        <f t="shared" si="88"/>
        <v>1.1485328446112059E-3</v>
      </c>
      <c r="Y285" s="259">
        <f t="shared" si="88"/>
        <v>1.1549646285410285E-3</v>
      </c>
      <c r="Z285" s="259">
        <f t="shared" si="88"/>
        <v>1.1614324304608584E-3</v>
      </c>
      <c r="AA285" s="262">
        <f t="shared" si="88"/>
        <v>1.1679364520714392E-3</v>
      </c>
    </row>
    <row r="286" spans="1:27" ht="16">
      <c r="A286" s="180" t="s">
        <v>24</v>
      </c>
      <c r="B286" s="194">
        <f>B284*(($B$260*(1/$B$263))+IF(ISERROR($B$267),0,($B$264*(1/$B$267))))</f>
        <v>0</v>
      </c>
      <c r="C286" s="194">
        <f>C284*(($B$260*(1/$B$263))+IF(ISERROR($B$267),0,($B$264*(1/$B$267))))</f>
        <v>0.67244239631336389</v>
      </c>
      <c r="D286" s="194">
        <f t="shared" ref="D286:AA286" si="89">D284*(($B$260*(1/$B$263))+IF(ISERROR($B$267),0,($B$264*(1/$B$267))))</f>
        <v>0.67620807373271874</v>
      </c>
      <c r="E286" s="194">
        <f t="shared" si="89"/>
        <v>0.67999483894562196</v>
      </c>
      <c r="F286" s="194">
        <f t="shared" si="89"/>
        <v>0.68380281004371746</v>
      </c>
      <c r="G286" s="194">
        <f t="shared" si="89"/>
        <v>0.68763210577996237</v>
      </c>
      <c r="H286" s="194">
        <f t="shared" si="89"/>
        <v>0.69148284557233008</v>
      </c>
      <c r="I286" s="194">
        <f t="shared" si="89"/>
        <v>0.69535514950753519</v>
      </c>
      <c r="J286" s="194">
        <f t="shared" si="89"/>
        <v>0.69924913834477742</v>
      </c>
      <c r="K286" s="194">
        <f t="shared" si="89"/>
        <v>0.70316493351950815</v>
      </c>
      <c r="L286" s="194">
        <f t="shared" si="89"/>
        <v>0.70710265714721732</v>
      </c>
      <c r="M286" s="194">
        <f t="shared" si="89"/>
        <v>0.71106243202724173</v>
      </c>
      <c r="N286" s="194">
        <f t="shared" si="89"/>
        <v>0.71504438164659434</v>
      </c>
      <c r="O286" s="194">
        <f t="shared" si="89"/>
        <v>0.71904863018381526</v>
      </c>
      <c r="P286" s="194">
        <f t="shared" si="89"/>
        <v>0.72307530251284469</v>
      </c>
      <c r="Q286" s="195">
        <f t="shared" si="89"/>
        <v>0.72712452420691653</v>
      </c>
      <c r="R286" s="196">
        <f t="shared" si="89"/>
        <v>0.73119642154247533</v>
      </c>
      <c r="S286" s="194">
        <f t="shared" si="89"/>
        <v>0.73529112150311315</v>
      </c>
      <c r="T286" s="194">
        <f t="shared" si="89"/>
        <v>0.7394087517835306</v>
      </c>
      <c r="U286" s="194">
        <f t="shared" si="89"/>
        <v>0.74354944079351837</v>
      </c>
      <c r="V286" s="195">
        <f t="shared" si="89"/>
        <v>0.74771331766196203</v>
      </c>
      <c r="W286" s="194">
        <f t="shared" si="89"/>
        <v>0.75190051224086896</v>
      </c>
      <c r="X286" s="194">
        <f t="shared" si="89"/>
        <v>0.75611115510941795</v>
      </c>
      <c r="Y286" s="194">
        <f t="shared" si="89"/>
        <v>0.76034537757803067</v>
      </c>
      <c r="Z286" s="194">
        <f t="shared" si="89"/>
        <v>0.76460331169246765</v>
      </c>
      <c r="AA286" s="195">
        <f t="shared" si="89"/>
        <v>0.76888509023794538</v>
      </c>
    </row>
    <row r="287" spans="1:27" s="24" customFormat="1" ht="16" thickBot="1">
      <c r="A287" s="197" t="s">
        <v>89</v>
      </c>
      <c r="B287" s="288">
        <f>B286*$B$4</f>
        <v>0</v>
      </c>
      <c r="C287" s="277">
        <f>C286*$B$4</f>
        <v>672.44239631336393</v>
      </c>
      <c r="D287" s="277">
        <f>D286*$B$4</f>
        <v>676.20807373271873</v>
      </c>
      <c r="E287" s="277">
        <f>E286*$B$4</f>
        <v>679.99483894562195</v>
      </c>
      <c r="F287" s="277">
        <f t="shared" ref="F287:V287" si="90">F286*$B$4</f>
        <v>683.8028100437175</v>
      </c>
      <c r="G287" s="277">
        <f t="shared" si="90"/>
        <v>687.63210577996233</v>
      </c>
      <c r="H287" s="277">
        <f t="shared" si="90"/>
        <v>691.48284557233012</v>
      </c>
      <c r="I287" s="277">
        <f t="shared" si="90"/>
        <v>695.3551495075352</v>
      </c>
      <c r="J287" s="277">
        <f t="shared" si="90"/>
        <v>699.24913834477741</v>
      </c>
      <c r="K287" s="277">
        <f t="shared" si="90"/>
        <v>703.16493351950817</v>
      </c>
      <c r="L287" s="277">
        <f t="shared" si="90"/>
        <v>707.10265714721731</v>
      </c>
      <c r="M287" s="277">
        <f t="shared" si="90"/>
        <v>711.0624320272417</v>
      </c>
      <c r="N287" s="277">
        <f t="shared" si="90"/>
        <v>715.04438164659439</v>
      </c>
      <c r="O287" s="277">
        <f t="shared" si="90"/>
        <v>719.04863018381525</v>
      </c>
      <c r="P287" s="277">
        <f t="shared" si="90"/>
        <v>723.0753025128447</v>
      </c>
      <c r="Q287" s="278">
        <f t="shared" si="90"/>
        <v>727.12452420691659</v>
      </c>
      <c r="R287" s="279">
        <f t="shared" si="90"/>
        <v>731.19642154247538</v>
      </c>
      <c r="S287" s="277">
        <f t="shared" si="90"/>
        <v>735.29112150311312</v>
      </c>
      <c r="T287" s="277">
        <f t="shared" si="90"/>
        <v>739.40875178353065</v>
      </c>
      <c r="U287" s="277">
        <f t="shared" si="90"/>
        <v>743.54944079351833</v>
      </c>
      <c r="V287" s="280">
        <f t="shared" si="90"/>
        <v>747.71331766196204</v>
      </c>
      <c r="W287" s="277">
        <f>W286*$B$4</f>
        <v>751.90051224086892</v>
      </c>
      <c r="X287" s="277">
        <f>X286*$B$4</f>
        <v>756.11115510941795</v>
      </c>
      <c r="Y287" s="277">
        <f>Y286*$B$4</f>
        <v>760.34537757803071</v>
      </c>
      <c r="Z287" s="277">
        <f>Z286*$B$4</f>
        <v>764.60331169246763</v>
      </c>
      <c r="AA287" s="281">
        <f>AA286*$B$4</f>
        <v>768.88509023794541</v>
      </c>
    </row>
    <row r="288" spans="1:27" s="24" customFormat="1">
      <c r="A288" s="167"/>
      <c r="B288" s="168"/>
      <c r="C288" s="169"/>
      <c r="D288" s="169"/>
      <c r="E288" s="169"/>
      <c r="F288" s="169"/>
      <c r="G288" s="169"/>
      <c r="H288" s="169"/>
      <c r="I288" s="169"/>
      <c r="J288" s="169"/>
      <c r="K288" s="169"/>
      <c r="L288" s="169"/>
      <c r="M288" s="169"/>
      <c r="N288" s="169"/>
      <c r="O288" s="169"/>
      <c r="P288" s="169"/>
      <c r="Q288" s="170"/>
      <c r="R288" s="171"/>
      <c r="S288" s="169"/>
      <c r="T288" s="169"/>
      <c r="U288" s="169"/>
      <c r="V288" s="172"/>
      <c r="W288" s="169"/>
      <c r="X288" s="169"/>
      <c r="Y288" s="169"/>
      <c r="Z288" s="169"/>
      <c r="AA288" s="173"/>
    </row>
    <row r="289" spans="1:27" ht="16">
      <c r="A289" s="6" t="s">
        <v>34</v>
      </c>
      <c r="B289" s="291">
        <f t="shared" ref="B289:G289" si="91">B277+B281+B286</f>
        <v>205</v>
      </c>
      <c r="C289" s="118">
        <f t="shared" si="91"/>
        <v>2.7224423963133635</v>
      </c>
      <c r="D289" s="118">
        <f t="shared" si="91"/>
        <v>2.9539858515104962</v>
      </c>
      <c r="E289" s="118">
        <f t="shared" si="91"/>
        <v>3.1855503945011776</v>
      </c>
      <c r="F289" s="118">
        <f t="shared" si="91"/>
        <v>3.4171361433770508</v>
      </c>
      <c r="G289" s="118">
        <f t="shared" si="91"/>
        <v>3.6487432168910736</v>
      </c>
      <c r="H289" s="118">
        <f t="shared" ref="H289:Q289" si="92">H277+H281+H286</f>
        <v>3.8803717344612192</v>
      </c>
      <c r="I289" s="118">
        <f t="shared" si="92"/>
        <v>4.1120218161742015</v>
      </c>
      <c r="J289" s="118">
        <f t="shared" si="92"/>
        <v>4.3436935827892214</v>
      </c>
      <c r="K289" s="118">
        <f t="shared" si="92"/>
        <v>4.5753871557417307</v>
      </c>
      <c r="L289" s="118">
        <f t="shared" si="92"/>
        <v>209.8071026571472</v>
      </c>
      <c r="M289" s="118">
        <f t="shared" si="92"/>
        <v>2.7610624320272414</v>
      </c>
      <c r="N289" s="118">
        <f t="shared" si="92"/>
        <v>2.9928221594243718</v>
      </c>
      <c r="O289" s="118">
        <f t="shared" si="92"/>
        <v>3.2246041857393708</v>
      </c>
      <c r="P289" s="118">
        <f t="shared" si="92"/>
        <v>3.4564086358461781</v>
      </c>
      <c r="Q289" s="202">
        <f t="shared" si="92"/>
        <v>3.6882356353180277</v>
      </c>
      <c r="R289" s="136">
        <f t="shared" ref="R289:AA289" si="93">R277+R281+R286</f>
        <v>3.9200853104313644</v>
      </c>
      <c r="S289" s="118">
        <f t="shared" si="93"/>
        <v>4.1519577881697796</v>
      </c>
      <c r="T289" s="118">
        <f t="shared" si="93"/>
        <v>4.3838531962279745</v>
      </c>
      <c r="U289" s="118">
        <f t="shared" si="93"/>
        <v>4.6157716630157406</v>
      </c>
      <c r="V289" s="203">
        <f t="shared" si="93"/>
        <v>209.84771331766197</v>
      </c>
      <c r="W289" s="118">
        <f t="shared" si="93"/>
        <v>2.8019005122408687</v>
      </c>
      <c r="X289" s="118">
        <f t="shared" si="93"/>
        <v>3.0338889328871956</v>
      </c>
      <c r="Y289" s="118">
        <f t="shared" si="93"/>
        <v>3.2659009331335862</v>
      </c>
      <c r="Z289" s="118">
        <f t="shared" si="93"/>
        <v>3.4979366450258009</v>
      </c>
      <c r="AA289" s="204">
        <f t="shared" si="93"/>
        <v>3.7299962013490564</v>
      </c>
    </row>
    <row r="290" spans="1:27" ht="16" thickBot="1">
      <c r="A290" s="135" t="s">
        <v>35</v>
      </c>
      <c r="B290" s="243">
        <f>($B$4*B289)</f>
        <v>205000</v>
      </c>
      <c r="C290" s="243">
        <f>$B$4*C289</f>
        <v>2722.4423963133636</v>
      </c>
      <c r="D290" s="243">
        <f>$B$4*D289</f>
        <v>2953.9858515104961</v>
      </c>
      <c r="E290" s="243">
        <f>$B$4*E289</f>
        <v>3185.5503945011778</v>
      </c>
      <c r="F290" s="243">
        <f t="shared" ref="F290:V290" si="94">$B$4*F289</f>
        <v>3417.1361433770508</v>
      </c>
      <c r="G290" s="243">
        <f t="shared" si="94"/>
        <v>3648.7432168910736</v>
      </c>
      <c r="H290" s="243">
        <f t="shared" si="94"/>
        <v>3880.3717344612191</v>
      </c>
      <c r="I290" s="243">
        <f t="shared" si="94"/>
        <v>4112.0218161742014</v>
      </c>
      <c r="J290" s="243">
        <f t="shared" si="94"/>
        <v>4343.6935827892212</v>
      </c>
      <c r="K290" s="243">
        <f t="shared" si="94"/>
        <v>4575.3871557417306</v>
      </c>
      <c r="L290" s="243">
        <f t="shared" si="94"/>
        <v>209807.10265714719</v>
      </c>
      <c r="M290" s="243">
        <f t="shared" si="94"/>
        <v>2761.0624320272414</v>
      </c>
      <c r="N290" s="243">
        <f t="shared" si="94"/>
        <v>2992.8221594243719</v>
      </c>
      <c r="O290" s="243">
        <f t="shared" si="94"/>
        <v>3224.6041857393707</v>
      </c>
      <c r="P290" s="243">
        <f t="shared" si="94"/>
        <v>3456.4086358461782</v>
      </c>
      <c r="Q290" s="250">
        <f t="shared" si="94"/>
        <v>3688.2356353180276</v>
      </c>
      <c r="R290" s="251">
        <f t="shared" si="94"/>
        <v>3920.0853104313646</v>
      </c>
      <c r="S290" s="243">
        <f t="shared" si="94"/>
        <v>4151.9577881697796</v>
      </c>
      <c r="T290" s="243">
        <f t="shared" si="94"/>
        <v>4383.8531962279749</v>
      </c>
      <c r="U290" s="243">
        <f t="shared" si="94"/>
        <v>4615.7716630157402</v>
      </c>
      <c r="V290" s="265">
        <f t="shared" si="94"/>
        <v>209847.71331766198</v>
      </c>
      <c r="W290" s="243">
        <f>$B$4*W289</f>
        <v>2801.9005122408685</v>
      </c>
      <c r="X290" s="243">
        <f>$B$4*X289</f>
        <v>3033.8889328871956</v>
      </c>
      <c r="Y290" s="243">
        <f>$B$4*Y289</f>
        <v>3265.900933133586</v>
      </c>
      <c r="Z290" s="243">
        <f>$B$4*Z289</f>
        <v>3497.9366450258008</v>
      </c>
      <c r="AA290" s="32">
        <f>$B$4*AA289</f>
        <v>3729.9962013490563</v>
      </c>
    </row>
    <row r="291" spans="1:27" ht="17" thickTop="1" thickBot="1">
      <c r="A291" s="268"/>
      <c r="B291" s="28" t="s">
        <v>98</v>
      </c>
      <c r="C291" s="29" t="s">
        <v>91</v>
      </c>
      <c r="D291" s="30" t="s">
        <v>92</v>
      </c>
      <c r="E291" s="205"/>
      <c r="F291" s="205"/>
      <c r="G291" s="205"/>
      <c r="H291" s="205"/>
      <c r="I291" s="205"/>
      <c r="J291" s="205"/>
      <c r="K291" s="205"/>
      <c r="L291" s="205"/>
      <c r="M291" s="205"/>
      <c r="N291" s="263"/>
      <c r="O291" s="263"/>
      <c r="P291" s="263"/>
      <c r="Q291" s="263"/>
      <c r="R291" s="263"/>
      <c r="S291" s="263"/>
      <c r="T291" s="263"/>
      <c r="U291" s="263"/>
      <c r="V291" s="263"/>
      <c r="W291" s="263"/>
      <c r="X291" s="263"/>
      <c r="Y291" s="263"/>
      <c r="Z291" s="263"/>
      <c r="AA291" s="263"/>
    </row>
    <row r="292" spans="1:27" ht="16">
      <c r="A292" s="6" t="s">
        <v>36</v>
      </c>
      <c r="B292" s="206">
        <f>NPV($B$5,C289,D289:Q289)+B289-(Q276/((1+B270)^15))</f>
        <v>318.4112352161689</v>
      </c>
      <c r="C292" s="207">
        <f>NPV($B$5,C289,D289:V289)+B289-(V276/((1+B270)^20))</f>
        <v>376.79806074970998</v>
      </c>
      <c r="D292" s="31">
        <f>NPV($B$5,C289,D289:AA289)+B289-(AA276/((1+B270)^25))</f>
        <v>429.0840857295135</v>
      </c>
      <c r="E292" s="208"/>
      <c r="F292" s="5"/>
      <c r="G292" s="5"/>
      <c r="H292" s="5"/>
      <c r="I292" s="5"/>
      <c r="J292" s="5"/>
      <c r="K292" s="5"/>
      <c r="L292" s="5"/>
      <c r="M292" s="5"/>
      <c r="N292" s="5"/>
      <c r="O292" s="5"/>
      <c r="P292" s="5"/>
      <c r="Q292" s="5"/>
      <c r="R292" s="5"/>
      <c r="S292" s="5"/>
      <c r="T292" s="5"/>
      <c r="U292" s="5"/>
      <c r="V292" s="5"/>
      <c r="W292" s="5"/>
      <c r="X292" s="4"/>
      <c r="Y292" s="4"/>
      <c r="Z292" s="4"/>
      <c r="AA292" s="4"/>
    </row>
    <row r="293" spans="1:27">
      <c r="A293" s="264" t="s">
        <v>37</v>
      </c>
      <c r="B293" s="210">
        <f>(NPV(B270,C290,D290:Q290))+B290-(Q276*$B$4/(1+B270)^15)</f>
        <v>318411.23521616892</v>
      </c>
      <c r="C293" s="211">
        <f>(NPV(B270,C290,D290:V290))+B290-(V276*$B$4/(1+B270)^20)</f>
        <v>376798.06074970996</v>
      </c>
      <c r="D293" s="212">
        <f>(NPV(B270,C290,D290:AA290))+B290-(AA276*$B$4/(1+B270)^25)</f>
        <v>429084.08572951355</v>
      </c>
      <c r="E293" s="213"/>
      <c r="F293" s="213"/>
      <c r="G293" s="213"/>
      <c r="H293" s="214"/>
      <c r="I293" s="23"/>
      <c r="J293" s="23"/>
      <c r="K293" s="23"/>
      <c r="L293" s="23"/>
      <c r="M293" s="23"/>
      <c r="N293" s="23"/>
      <c r="O293" s="23"/>
      <c r="P293" s="23"/>
      <c r="Q293" s="23"/>
      <c r="R293" s="23"/>
      <c r="S293" s="23"/>
      <c r="T293" s="23"/>
      <c r="U293" s="23"/>
      <c r="V293" s="23"/>
      <c r="W293" s="23"/>
      <c r="X293" s="4"/>
      <c r="Y293" s="4"/>
      <c r="Z293" s="4"/>
      <c r="AA293" s="4"/>
    </row>
    <row r="294" spans="1:27">
      <c r="A294" s="209" t="s">
        <v>85</v>
      </c>
      <c r="B294" s="210">
        <f>NPV(B270,C278,D278:Q278)+B278-(Q276*$B$4/(1+B270)^15)</f>
        <v>281547.96442153119</v>
      </c>
      <c r="C294" s="211">
        <f>NPV(B270,C278,D278:V278)+B278-(V276*$B$4/(1+B270)^20)</f>
        <v>330852.21697585552</v>
      </c>
      <c r="D294" s="212">
        <f>NPV(B270,C278,D278:AA278)+B278-(AA276*$B$4/(1+B270)^25)</f>
        <v>377846.02686580003</v>
      </c>
      <c r="E294" s="213"/>
      <c r="F294" s="213"/>
      <c r="G294" s="213"/>
      <c r="H294" s="214"/>
      <c r="I294" s="23"/>
      <c r="J294" s="23"/>
      <c r="K294" s="23"/>
      <c r="L294" s="23"/>
      <c r="M294" s="23"/>
      <c r="N294" s="23"/>
      <c r="O294" s="23"/>
      <c r="P294" s="23"/>
      <c r="Q294" s="23"/>
      <c r="R294" s="23"/>
      <c r="S294" s="23"/>
      <c r="T294" s="23"/>
      <c r="U294" s="23"/>
      <c r="V294" s="23"/>
      <c r="W294" s="23"/>
      <c r="X294" s="4"/>
      <c r="Y294" s="4"/>
      <c r="Z294" s="4"/>
      <c r="AA294" s="4"/>
    </row>
    <row r="295" spans="1:27">
      <c r="A295" s="209" t="s">
        <v>86</v>
      </c>
      <c r="B295" s="210">
        <f>NPV(B270,C282,D282:Q282)+B282</f>
        <v>29639.747923275099</v>
      </c>
      <c r="C295" s="211">
        <f>NPV(B270,C282,D282:V282)+B282</f>
        <v>37183.253659373368</v>
      </c>
      <c r="D295" s="212">
        <f>NPV(B270,C282,D282:AA282)+B282</f>
        <v>41235.42381374196</v>
      </c>
      <c r="E295" s="213"/>
      <c r="F295" s="213"/>
      <c r="G295" s="213"/>
      <c r="H295" s="214"/>
      <c r="I295" s="23"/>
      <c r="J295" s="23"/>
      <c r="K295" s="23"/>
      <c r="L295" s="23"/>
      <c r="M295" s="23"/>
      <c r="N295" s="23"/>
      <c r="O295" s="23"/>
      <c r="P295" s="23"/>
      <c r="Q295" s="23"/>
      <c r="R295" s="23"/>
      <c r="S295" s="23"/>
      <c r="T295" s="23"/>
      <c r="U295" s="23"/>
      <c r="V295" s="23"/>
      <c r="W295" s="23"/>
      <c r="X295" s="4"/>
      <c r="Y295" s="4"/>
      <c r="Z295" s="4"/>
      <c r="AA295" s="4"/>
    </row>
    <row r="296" spans="1:27">
      <c r="A296" s="209" t="s">
        <v>90</v>
      </c>
      <c r="B296" s="210">
        <f>NPV(B270,C287,D287:Q287)+B287</f>
        <v>7223.5228713626248</v>
      </c>
      <c r="C296" s="211">
        <f>NPV(B270,C287,D287:V287)+B287</f>
        <v>8762.590114481045</v>
      </c>
      <c r="D296" s="212">
        <f>NPV(B270,C287,D287:AA287)+B287</f>
        <v>10002.63504997149</v>
      </c>
      <c r="E296" s="213"/>
      <c r="F296" s="213"/>
      <c r="G296" s="213"/>
      <c r="H296" s="214"/>
      <c r="I296" s="23"/>
      <c r="J296" s="23"/>
      <c r="K296" s="23"/>
      <c r="L296" s="23"/>
      <c r="M296" s="23"/>
      <c r="N296" s="23"/>
      <c r="O296" s="23"/>
      <c r="P296" s="23"/>
      <c r="Q296" s="23"/>
      <c r="R296" s="23"/>
      <c r="S296" s="23"/>
      <c r="T296" s="23"/>
      <c r="U296" s="23"/>
      <c r="V296" s="23"/>
      <c r="W296" s="23"/>
      <c r="X296" s="4"/>
      <c r="Y296" s="4"/>
      <c r="Z296" s="4"/>
      <c r="AA296" s="4"/>
    </row>
    <row r="297" spans="1:27" s="1" customFormat="1" ht="16" thickBot="1">
      <c r="A297" s="215" t="s">
        <v>303</v>
      </c>
      <c r="B297" s="216">
        <f>((Q276-Q275)/(1+B270)^15)*$B$4</f>
        <v>49304.252554324441</v>
      </c>
      <c r="C297" s="217">
        <f>((V276-V275)/(1+B270)^20)*$B$4</f>
        <v>0</v>
      </c>
      <c r="D297" s="218">
        <f>(AA276/(1+B270)^25)*$B$4</f>
        <v>30268.534099020617</v>
      </c>
      <c r="E297" s="219"/>
      <c r="F297" s="219"/>
      <c r="G297" s="219"/>
      <c r="H297" s="23"/>
      <c r="I297" s="23"/>
      <c r="J297" s="23"/>
      <c r="K297" s="23"/>
      <c r="L297" s="23"/>
      <c r="M297" s="23"/>
      <c r="N297" s="23"/>
      <c r="O297" s="23"/>
      <c r="P297" s="23"/>
      <c r="Q297" s="23"/>
      <c r="R297" s="23"/>
      <c r="S297" s="23"/>
      <c r="T297" s="23"/>
      <c r="U297" s="23"/>
      <c r="V297" s="23"/>
      <c r="W297" s="23"/>
      <c r="X297" s="3"/>
      <c r="Y297" s="3"/>
      <c r="Z297" s="3"/>
      <c r="AA297" s="3"/>
    </row>
    <row r="298" spans="1:27" ht="16" thickTop="1">
      <c r="A298" s="4"/>
      <c r="B298" s="480"/>
      <c r="C298" s="480"/>
      <c r="D298" s="480"/>
      <c r="E298" s="5"/>
      <c r="F298" s="5"/>
      <c r="G298" s="5"/>
      <c r="H298" s="5"/>
      <c r="I298" s="5"/>
      <c r="J298" s="5"/>
      <c r="K298" s="5"/>
      <c r="L298" s="5"/>
      <c r="M298" s="5"/>
      <c r="N298" s="5"/>
      <c r="O298" s="5"/>
      <c r="P298" s="5"/>
      <c r="Q298" s="5"/>
      <c r="R298" s="5"/>
      <c r="S298" s="5"/>
      <c r="T298" s="5"/>
      <c r="U298" s="5"/>
      <c r="V298" s="4"/>
      <c r="W298" s="4"/>
      <c r="X298" s="4"/>
      <c r="Y298" s="4"/>
      <c r="Z298" s="4"/>
      <c r="AA298" s="4"/>
    </row>
    <row r="299" spans="1:27" ht="16" thickBot="1">
      <c r="A299" s="4"/>
      <c r="B299" s="481"/>
      <c r="C299" s="13"/>
      <c r="D299" s="486"/>
      <c r="E299" s="5"/>
      <c r="F299" s="5"/>
      <c r="G299" s="5"/>
      <c r="H299" s="5"/>
      <c r="I299" s="5"/>
      <c r="J299" s="5"/>
      <c r="K299" s="5"/>
      <c r="L299" s="5"/>
      <c r="M299" s="5"/>
      <c r="N299" s="5"/>
      <c r="O299" s="5"/>
      <c r="P299" s="5"/>
      <c r="Q299" s="5"/>
      <c r="R299" s="5"/>
      <c r="S299" s="5"/>
      <c r="T299" s="5"/>
      <c r="U299" s="5"/>
      <c r="V299" s="5"/>
      <c r="W299" s="4"/>
      <c r="X299" s="4"/>
      <c r="Y299" s="4"/>
      <c r="Z299" s="4"/>
      <c r="AA299" s="4"/>
    </row>
    <row r="300" spans="1:27" ht="36" customHeight="1" thickTop="1" thickBot="1">
      <c r="A300" s="1016" t="s">
        <v>350</v>
      </c>
      <c r="B300" s="1015"/>
      <c r="C300" s="255"/>
      <c r="D300" s="255"/>
      <c r="E300" s="149"/>
      <c r="F300" s="149"/>
      <c r="G300" s="149"/>
      <c r="H300" s="149"/>
      <c r="I300" s="149"/>
      <c r="J300" s="149"/>
      <c r="K300" s="149"/>
      <c r="L300" s="149"/>
      <c r="M300" s="149"/>
      <c r="N300" s="149"/>
      <c r="O300" s="149"/>
      <c r="P300" s="149"/>
      <c r="Q300" s="149"/>
      <c r="R300" s="149"/>
      <c r="S300" s="149"/>
      <c r="T300" s="149"/>
      <c r="U300" s="149"/>
      <c r="V300" s="149"/>
      <c r="W300" s="4"/>
      <c r="X300" s="4"/>
      <c r="Y300" s="4"/>
      <c r="Z300" s="4"/>
      <c r="AA300" s="4"/>
    </row>
    <row r="301" spans="1:27">
      <c r="A301" s="150" t="s">
        <v>83</v>
      </c>
      <c r="B301" s="657" t="str">
        <f>IF(Inputs!E30="No","",Inputs!$D$16)</f>
        <v/>
      </c>
      <c r="C301" s="152" t="s">
        <v>193</v>
      </c>
      <c r="D301" s="255"/>
      <c r="E301" s="149"/>
      <c r="F301" s="149"/>
      <c r="G301" s="149"/>
      <c r="H301" s="149"/>
      <c r="I301" s="149"/>
      <c r="J301" s="149"/>
      <c r="K301" s="149"/>
      <c r="L301" s="149"/>
      <c r="M301" s="149"/>
      <c r="N301" s="149"/>
      <c r="O301" s="149"/>
      <c r="P301" s="149"/>
      <c r="Q301" s="149"/>
      <c r="R301" s="149"/>
      <c r="S301" s="149"/>
      <c r="T301" s="149"/>
      <c r="U301" s="149"/>
      <c r="V301" s="149"/>
      <c r="W301" s="4"/>
      <c r="X301" s="4"/>
      <c r="Y301" s="4"/>
      <c r="Z301" s="4"/>
      <c r="AA301" s="4"/>
    </row>
    <row r="302" spans="1:27">
      <c r="A302" s="150" t="s">
        <v>221</v>
      </c>
      <c r="B302" s="151">
        <f>'Regional Fuel Costs'!C49</f>
        <v>5.5999999999999999E-3</v>
      </c>
      <c r="C302" s="152" t="s">
        <v>193</v>
      </c>
      <c r="D302" s="255"/>
      <c r="E302" s="149"/>
      <c r="F302" s="149"/>
      <c r="G302" s="149"/>
      <c r="H302" s="149"/>
      <c r="I302" s="149"/>
      <c r="J302" s="149"/>
      <c r="K302" s="149"/>
      <c r="L302" s="149"/>
      <c r="M302" s="149"/>
      <c r="N302" s="149"/>
      <c r="O302" s="149"/>
      <c r="P302" s="149"/>
      <c r="Q302" s="149"/>
      <c r="R302" s="149"/>
      <c r="S302" s="149"/>
      <c r="T302" s="149"/>
      <c r="U302" s="149"/>
      <c r="V302" s="149"/>
      <c r="W302" s="4"/>
      <c r="X302" s="4"/>
      <c r="Y302" s="4"/>
      <c r="Z302" s="4"/>
      <c r="AA302" s="4"/>
    </row>
    <row r="303" spans="1:27" ht="16">
      <c r="A303" s="150" t="s">
        <v>412</v>
      </c>
      <c r="B303" s="658">
        <f>Inputs!$D$11</f>
        <v>12</v>
      </c>
      <c r="C303" s="154" t="s">
        <v>290</v>
      </c>
      <c r="D303" s="255"/>
      <c r="E303" s="149"/>
      <c r="F303" s="149"/>
      <c r="G303" s="149"/>
      <c r="H303" s="149"/>
      <c r="I303" s="149"/>
      <c r="J303" s="149"/>
      <c r="K303" s="149"/>
      <c r="L303" s="149"/>
      <c r="M303" s="149"/>
      <c r="N303" s="149"/>
      <c r="O303" s="149"/>
      <c r="P303" s="149"/>
      <c r="Q303" s="149"/>
      <c r="R303" s="149"/>
      <c r="S303" s="149"/>
      <c r="T303" s="149"/>
      <c r="U303" s="149"/>
      <c r="V303" s="149"/>
      <c r="W303" s="4"/>
      <c r="X303" s="4"/>
      <c r="Y303" s="4"/>
      <c r="Z303" s="4"/>
      <c r="AA303" s="4"/>
    </row>
    <row r="304" spans="1:27">
      <c r="A304" s="150" t="s">
        <v>188</v>
      </c>
      <c r="B304" s="658">
        <f>Inputs!K30</f>
        <v>3.5</v>
      </c>
      <c r="C304" s="155" t="s">
        <v>196</v>
      </c>
      <c r="D304" s="255"/>
      <c r="E304" s="149"/>
      <c r="F304" s="149"/>
      <c r="G304" s="149"/>
      <c r="H304" s="149"/>
      <c r="I304" s="149"/>
      <c r="J304" s="149"/>
      <c r="K304" s="149"/>
      <c r="L304" s="149"/>
      <c r="M304" s="149"/>
      <c r="N304" s="149"/>
      <c r="O304" s="149"/>
      <c r="P304" s="149"/>
      <c r="Q304" s="149"/>
      <c r="R304" s="149"/>
      <c r="S304" s="149"/>
      <c r="T304" s="149"/>
      <c r="U304" s="149"/>
      <c r="V304" s="149"/>
      <c r="W304" s="4"/>
      <c r="X304" s="4"/>
      <c r="Y304" s="4"/>
      <c r="Z304" s="4"/>
      <c r="AA304" s="4"/>
    </row>
    <row r="305" spans="1:27">
      <c r="A305" s="150" t="s">
        <v>187</v>
      </c>
      <c r="B305" s="156">
        <f>'System Efficiencies'!C4</f>
        <v>0.95</v>
      </c>
      <c r="C305" s="155" t="s">
        <v>196</v>
      </c>
      <c r="D305" s="255"/>
      <c r="E305" s="149"/>
      <c r="F305" s="149"/>
      <c r="G305" s="149"/>
      <c r="H305" s="149"/>
      <c r="I305" s="149"/>
      <c r="J305" s="149"/>
      <c r="K305" s="149"/>
      <c r="L305" s="149"/>
      <c r="M305" s="149"/>
      <c r="N305" s="149"/>
      <c r="O305" s="149"/>
      <c r="P305" s="149"/>
      <c r="Q305" s="149"/>
      <c r="R305" s="149"/>
      <c r="S305" s="149"/>
      <c r="T305" s="149"/>
      <c r="U305" s="149"/>
      <c r="V305" s="149"/>
      <c r="W305" s="4"/>
      <c r="X305" s="4"/>
      <c r="Y305" s="4"/>
      <c r="Z305" s="4"/>
      <c r="AA305" s="4"/>
    </row>
    <row r="306" spans="1:27">
      <c r="A306" s="150" t="s">
        <v>189</v>
      </c>
      <c r="B306" s="659">
        <f>B304*B305</f>
        <v>3.3249999999999997</v>
      </c>
      <c r="C306" s="155" t="s">
        <v>196</v>
      </c>
      <c r="D306" s="255"/>
      <c r="E306" s="149"/>
      <c r="F306" s="149"/>
      <c r="G306" s="149"/>
      <c r="H306" s="149"/>
      <c r="I306" s="149"/>
      <c r="J306" s="149"/>
      <c r="K306" s="149"/>
      <c r="L306" s="149"/>
      <c r="M306" s="149"/>
      <c r="N306" s="149"/>
      <c r="O306" s="149"/>
      <c r="P306" s="149"/>
      <c r="Q306" s="149"/>
      <c r="R306" s="149"/>
      <c r="S306" s="149"/>
      <c r="T306" s="149"/>
      <c r="U306" s="149"/>
      <c r="V306" s="149"/>
      <c r="W306" s="4"/>
      <c r="X306" s="4"/>
      <c r="Y306" s="4"/>
      <c r="Z306" s="4"/>
      <c r="AA306" s="4"/>
    </row>
    <row r="307" spans="1:27" ht="16">
      <c r="A307" s="256" t="s">
        <v>413</v>
      </c>
      <c r="B307" s="658">
        <f>IF(Inputs!C8="No",0,Inputs!$D$13)</f>
        <v>0</v>
      </c>
      <c r="C307" s="154" t="s">
        <v>290</v>
      </c>
      <c r="D307" s="255"/>
      <c r="E307" s="149"/>
      <c r="F307" s="149"/>
      <c r="G307" s="149"/>
      <c r="H307" s="149"/>
      <c r="I307" s="149"/>
      <c r="J307" s="149"/>
      <c r="K307" s="149"/>
      <c r="L307" s="149"/>
      <c r="M307" s="149"/>
      <c r="N307" s="149"/>
      <c r="O307" s="149"/>
      <c r="P307" s="149"/>
      <c r="Q307" s="149"/>
      <c r="R307" s="149"/>
      <c r="S307" s="149"/>
      <c r="T307" s="149"/>
      <c r="U307" s="149"/>
      <c r="V307" s="149"/>
      <c r="W307" s="4"/>
      <c r="X307" s="4"/>
      <c r="Y307" s="4"/>
      <c r="Z307" s="4"/>
      <c r="AA307" s="4"/>
    </row>
    <row r="308" spans="1:27">
      <c r="A308" s="256" t="s">
        <v>190</v>
      </c>
      <c r="B308" s="658" t="str">
        <f>Inputs!M30</f>
        <v>N/A</v>
      </c>
      <c r="C308" s="155" t="s">
        <v>196</v>
      </c>
      <c r="D308" s="255"/>
      <c r="E308" s="149"/>
      <c r="F308" s="149"/>
      <c r="G308" s="149"/>
      <c r="H308" s="149"/>
      <c r="I308" s="149"/>
      <c r="J308" s="149"/>
      <c r="K308" s="149"/>
      <c r="L308" s="149"/>
      <c r="M308" s="149"/>
      <c r="N308" s="149"/>
      <c r="O308" s="149"/>
      <c r="P308" s="149"/>
      <c r="Q308" s="149"/>
      <c r="R308" s="149"/>
      <c r="S308" s="149"/>
      <c r="T308" s="149"/>
      <c r="U308" s="149"/>
      <c r="V308" s="149"/>
      <c r="W308" s="4"/>
      <c r="X308" s="4"/>
      <c r="Y308" s="4"/>
      <c r="Z308" s="4"/>
      <c r="AA308" s="4"/>
    </row>
    <row r="309" spans="1:27">
      <c r="A309" s="256" t="s">
        <v>191</v>
      </c>
      <c r="B309" s="156">
        <f>'System Efficiencies'!C5</f>
        <v>0.95</v>
      </c>
      <c r="C309" s="155" t="s">
        <v>196</v>
      </c>
      <c r="D309" s="255"/>
      <c r="E309" s="149"/>
      <c r="F309" s="149"/>
      <c r="G309" s="149"/>
      <c r="H309" s="149"/>
      <c r="I309" s="149"/>
      <c r="J309" s="149"/>
      <c r="K309" s="149"/>
      <c r="L309" s="149"/>
      <c r="M309" s="149"/>
      <c r="N309" s="149"/>
      <c r="O309" s="149"/>
      <c r="P309" s="149"/>
      <c r="Q309" s="149"/>
      <c r="R309" s="149"/>
      <c r="S309" s="149"/>
      <c r="T309" s="149"/>
      <c r="U309" s="149"/>
      <c r="V309" s="149"/>
      <c r="W309" s="4"/>
      <c r="X309" s="4"/>
      <c r="Y309" s="4"/>
      <c r="Z309" s="4"/>
      <c r="AA309" s="4"/>
    </row>
    <row r="310" spans="1:27">
      <c r="A310" s="256" t="s">
        <v>192</v>
      </c>
      <c r="B310" s="659" t="e">
        <f>B308*B309</f>
        <v>#VALUE!</v>
      </c>
      <c r="C310" s="155" t="s">
        <v>196</v>
      </c>
      <c r="D310" s="255"/>
      <c r="E310" s="149"/>
      <c r="F310" s="149"/>
      <c r="G310" s="149"/>
      <c r="H310" s="149"/>
      <c r="I310" s="149"/>
      <c r="J310" s="149"/>
      <c r="K310" s="149"/>
      <c r="L310" s="149"/>
      <c r="M310" s="149"/>
      <c r="N310" s="149"/>
      <c r="O310" s="149"/>
      <c r="P310" s="149"/>
      <c r="Q310" s="149"/>
      <c r="R310" s="149"/>
      <c r="S310" s="149"/>
      <c r="T310" s="149"/>
      <c r="U310" s="149"/>
      <c r="V310" s="149"/>
      <c r="W310" s="4"/>
      <c r="X310" s="4"/>
      <c r="Y310" s="4"/>
      <c r="Z310" s="4"/>
      <c r="AA310" s="4"/>
    </row>
    <row r="311" spans="1:27" ht="16">
      <c r="A311" s="150" t="s">
        <v>82</v>
      </c>
      <c r="B311" s="658" t="str">
        <f>Inputs!I30</f>
        <v>N/A</v>
      </c>
      <c r="C311" s="157" t="s">
        <v>195</v>
      </c>
      <c r="D311" s="255"/>
      <c r="E311" s="149"/>
      <c r="F311" s="149"/>
      <c r="G311" s="149"/>
      <c r="H311" s="149"/>
      <c r="I311" s="149"/>
      <c r="J311" s="149"/>
      <c r="K311" s="149"/>
      <c r="L311" s="149"/>
      <c r="M311" s="149"/>
      <c r="N311" s="149"/>
      <c r="O311" s="149"/>
      <c r="P311" s="149"/>
      <c r="Q311" s="149"/>
      <c r="R311" s="257"/>
      <c r="S311" s="257"/>
      <c r="T311" s="257"/>
      <c r="U311" s="257"/>
      <c r="V311" s="258"/>
      <c r="W311" s="258"/>
      <c r="X311" s="258"/>
      <c r="Y311" s="258"/>
      <c r="Z311" s="258"/>
      <c r="AA311" s="258"/>
    </row>
    <row r="312" spans="1:27">
      <c r="A312" s="150" t="s">
        <v>81</v>
      </c>
      <c r="B312" s="153">
        <f>'Capital Cost Structure'!E52</f>
        <v>25</v>
      </c>
      <c r="C312" s="157" t="s">
        <v>195</v>
      </c>
      <c r="D312" s="255"/>
      <c r="E312" s="302" t="s">
        <v>285</v>
      </c>
      <c r="F312" s="149"/>
      <c r="G312" s="149"/>
      <c r="H312" s="149"/>
      <c r="I312" s="149"/>
      <c r="J312" s="149"/>
      <c r="K312" s="149"/>
      <c r="L312" s="149"/>
      <c r="M312" s="149"/>
      <c r="N312" s="149"/>
      <c r="O312" s="149"/>
      <c r="P312" s="149"/>
      <c r="Q312" s="149"/>
      <c r="R312" s="149"/>
      <c r="S312" s="149"/>
      <c r="T312" s="149"/>
      <c r="U312" s="149"/>
      <c r="V312" s="149"/>
      <c r="W312" s="4"/>
      <c r="X312" s="4"/>
      <c r="Y312" s="4"/>
      <c r="Z312" s="4"/>
      <c r="AA312" s="4"/>
    </row>
    <row r="313" spans="1:27">
      <c r="A313" s="150" t="s">
        <v>32</v>
      </c>
      <c r="B313" s="156">
        <f>$B$5</f>
        <v>0.05</v>
      </c>
      <c r="C313" s="248" t="s">
        <v>194</v>
      </c>
      <c r="D313" s="255"/>
      <c r="E313" s="149"/>
      <c r="F313" s="149"/>
      <c r="G313" s="149"/>
      <c r="H313" s="149"/>
      <c r="I313" s="149"/>
      <c r="J313" s="149"/>
      <c r="K313" s="149"/>
      <c r="L313" s="149"/>
      <c r="M313" s="149"/>
      <c r="N313" s="149"/>
      <c r="O313" s="149"/>
      <c r="P313" s="149"/>
      <c r="Q313" s="149"/>
      <c r="R313" s="149"/>
      <c r="S313" s="149"/>
      <c r="T313" s="149"/>
      <c r="U313" s="149"/>
      <c r="V313" s="149"/>
      <c r="W313" s="4"/>
      <c r="X313" s="4"/>
      <c r="Y313" s="4"/>
      <c r="Z313" s="4"/>
      <c r="AA313" s="4"/>
    </row>
    <row r="314" spans="1:27" ht="16" thickBot="1">
      <c r="A314" s="159" t="s">
        <v>405</v>
      </c>
      <c r="B314" s="547">
        <f>Inputs!F30</f>
        <v>0</v>
      </c>
      <c r="C314" s="249" t="s">
        <v>194</v>
      </c>
      <c r="D314" s="160"/>
      <c r="E314" s="161"/>
      <c r="F314" s="161"/>
      <c r="G314" s="161"/>
      <c r="H314" s="161"/>
      <c r="I314" s="161"/>
      <c r="J314" s="161"/>
      <c r="K314" s="161"/>
      <c r="L314" s="161"/>
      <c r="M314" s="161"/>
      <c r="N314" s="161"/>
      <c r="O314" s="161"/>
      <c r="P314" s="161"/>
      <c r="Q314" s="161"/>
      <c r="R314" s="161"/>
      <c r="S314" s="161"/>
      <c r="T314" s="161"/>
      <c r="U314" s="161"/>
      <c r="V314" s="161"/>
      <c r="W314" s="4"/>
      <c r="X314" s="4"/>
      <c r="Y314" s="4"/>
      <c r="Z314" s="4"/>
      <c r="AA314" s="4"/>
    </row>
    <row r="315" spans="1:27" ht="17" thickTop="1" thickBot="1">
      <c r="A315" s="6" t="s">
        <v>0</v>
      </c>
      <c r="B315" s="139" t="s">
        <v>51</v>
      </c>
      <c r="C315" s="117" t="s">
        <v>1</v>
      </c>
      <c r="D315" s="117" t="s">
        <v>2</v>
      </c>
      <c r="E315" s="117" t="s">
        <v>3</v>
      </c>
      <c r="F315" s="117" t="s">
        <v>4</v>
      </c>
      <c r="G315" s="117" t="s">
        <v>5</v>
      </c>
      <c r="H315" s="117" t="s">
        <v>6</v>
      </c>
      <c r="I315" s="117" t="s">
        <v>7</v>
      </c>
      <c r="J315" s="117" t="s">
        <v>8</v>
      </c>
      <c r="K315" s="117" t="s">
        <v>9</v>
      </c>
      <c r="L315" s="117" t="s">
        <v>10</v>
      </c>
      <c r="M315" s="117" t="s">
        <v>11</v>
      </c>
      <c r="N315" s="117" t="s">
        <v>12</v>
      </c>
      <c r="O315" s="117" t="s">
        <v>13</v>
      </c>
      <c r="P315" s="117" t="s">
        <v>14</v>
      </c>
      <c r="Q315" s="162" t="s">
        <v>15</v>
      </c>
      <c r="R315" s="139" t="s">
        <v>16</v>
      </c>
      <c r="S315" s="117" t="s">
        <v>17</v>
      </c>
      <c r="T315" s="117" t="s">
        <v>18</v>
      </c>
      <c r="U315" s="117" t="s">
        <v>19</v>
      </c>
      <c r="V315" s="163" t="s">
        <v>20</v>
      </c>
      <c r="W315" s="164" t="s">
        <v>93</v>
      </c>
      <c r="X315" s="165" t="s">
        <v>94</v>
      </c>
      <c r="Y315" s="165" t="s">
        <v>95</v>
      </c>
      <c r="Z315" s="165" t="s">
        <v>96</v>
      </c>
      <c r="AA315" s="166" t="s">
        <v>97</v>
      </c>
    </row>
    <row r="316" spans="1:27" ht="16">
      <c r="A316" s="167" t="s">
        <v>314</v>
      </c>
      <c r="B316" s="168" t="e">
        <f>B311*(1-Inputs!G30)</f>
        <v>#VALUE!</v>
      </c>
      <c r="C316" s="169"/>
      <c r="D316" s="169"/>
      <c r="E316" s="169"/>
      <c r="F316" s="169"/>
      <c r="G316" s="169"/>
      <c r="H316" s="169"/>
      <c r="I316" s="169"/>
      <c r="J316" s="169"/>
      <c r="K316" s="169"/>
      <c r="L316" s="169"/>
      <c r="M316" s="169"/>
      <c r="N316" s="169"/>
      <c r="O316" s="169"/>
      <c r="P316" s="169"/>
      <c r="Q316" s="170"/>
      <c r="R316" s="171"/>
      <c r="S316" s="169"/>
      <c r="T316" s="169"/>
      <c r="U316" s="169"/>
      <c r="V316" s="172"/>
      <c r="W316" s="169"/>
      <c r="X316" s="169"/>
      <c r="Y316" s="169"/>
      <c r="Z316" s="169"/>
      <c r="AA316" s="173"/>
    </row>
    <row r="317" spans="1:27">
      <c r="A317" s="6" t="s">
        <v>270</v>
      </c>
      <c r="B317" s="139"/>
      <c r="C317" s="7"/>
      <c r="D317" s="7"/>
      <c r="E317" s="7"/>
      <c r="F317" s="7"/>
      <c r="G317" s="269" t="s">
        <v>166</v>
      </c>
      <c r="H317" s="7"/>
      <c r="I317" s="7"/>
      <c r="J317" s="7"/>
      <c r="K317" s="7"/>
      <c r="L317" s="269" t="s">
        <v>264</v>
      </c>
      <c r="M317" s="7"/>
      <c r="N317" s="7"/>
      <c r="O317" s="7"/>
      <c r="P317" s="7"/>
      <c r="Q317" s="162" t="s">
        <v>265</v>
      </c>
      <c r="R317" s="174"/>
      <c r="S317" s="7"/>
      <c r="T317" s="7"/>
      <c r="U317" s="7"/>
      <c r="V317" s="163" t="s">
        <v>264</v>
      </c>
      <c r="W317" s="7"/>
      <c r="X317" s="7"/>
      <c r="Y317" s="7"/>
      <c r="Z317" s="7"/>
      <c r="AA317" s="175"/>
    </row>
    <row r="318" spans="1:27" ht="16">
      <c r="A318" s="266" t="s">
        <v>269</v>
      </c>
      <c r="B318" s="139">
        <v>0</v>
      </c>
      <c r="C318" s="7"/>
      <c r="D318" s="7"/>
      <c r="E318" s="7"/>
      <c r="F318" s="7"/>
      <c r="G318" s="651" t="e">
        <f>('Capital Cost Structure'!F57*B311)</f>
        <v>#VALUE!</v>
      </c>
      <c r="H318" s="7"/>
      <c r="I318" s="7"/>
      <c r="J318" s="7"/>
      <c r="K318" s="7"/>
      <c r="L318" s="651" t="e">
        <f>('Capital Cost Structure'!F57*B311)+('Capital Cost Structure'!F56*B311)</f>
        <v>#VALUE!</v>
      </c>
      <c r="M318" s="7"/>
      <c r="N318" s="7"/>
      <c r="O318" s="7"/>
      <c r="P318" s="7"/>
      <c r="Q318" s="653" t="e">
        <f>('Capital Cost Structure'!F57*B311)+('Capital Cost Structure'!F58*B311)+('Capital Cost Structure'!F53*B311)</f>
        <v>#VALUE!</v>
      </c>
      <c r="R318" s="174"/>
      <c r="S318" s="7"/>
      <c r="T318" s="7"/>
      <c r="U318" s="7"/>
      <c r="V318" s="653" t="e">
        <f>('Capital Cost Structure'!F57*B311)+('Capital Cost Structure'!F56*B311)</f>
        <v>#VALUE!</v>
      </c>
      <c r="W318" s="7"/>
      <c r="X318" s="7"/>
      <c r="Y318" s="7"/>
      <c r="Z318" s="7"/>
      <c r="AA318" s="175"/>
    </row>
    <row r="319" spans="1:27">
      <c r="A319" s="209" t="s">
        <v>50</v>
      </c>
      <c r="B319" s="139" t="e">
        <f>B316</f>
        <v>#VALUE!</v>
      </c>
      <c r="C319" s="7" t="e">
        <f>B319+C318-($B$316/$B$312)</f>
        <v>#VALUE!</v>
      </c>
      <c r="D319" s="7" t="e">
        <f t="shared" ref="D319:AA319" si="95">C319+D318-($B$316/$B$312)</f>
        <v>#VALUE!</v>
      </c>
      <c r="E319" s="7" t="e">
        <f t="shared" si="95"/>
        <v>#VALUE!</v>
      </c>
      <c r="F319" s="7" t="e">
        <f t="shared" si="95"/>
        <v>#VALUE!</v>
      </c>
      <c r="G319" s="7" t="e">
        <f t="shared" si="95"/>
        <v>#VALUE!</v>
      </c>
      <c r="H319" s="7" t="e">
        <f t="shared" si="95"/>
        <v>#VALUE!</v>
      </c>
      <c r="I319" s="7" t="e">
        <f t="shared" si="95"/>
        <v>#VALUE!</v>
      </c>
      <c r="J319" s="7" t="e">
        <f t="shared" si="95"/>
        <v>#VALUE!</v>
      </c>
      <c r="K319" s="7" t="e">
        <f t="shared" si="95"/>
        <v>#VALUE!</v>
      </c>
      <c r="L319" s="7" t="e">
        <f t="shared" si="95"/>
        <v>#VALUE!</v>
      </c>
      <c r="M319" s="7" t="e">
        <f t="shared" si="95"/>
        <v>#VALUE!</v>
      </c>
      <c r="N319" s="7" t="e">
        <f t="shared" si="95"/>
        <v>#VALUE!</v>
      </c>
      <c r="O319" s="7" t="e">
        <f t="shared" si="95"/>
        <v>#VALUE!</v>
      </c>
      <c r="P319" s="7" t="e">
        <f t="shared" si="95"/>
        <v>#VALUE!</v>
      </c>
      <c r="Q319" s="104" t="e">
        <f t="shared" si="95"/>
        <v>#VALUE!</v>
      </c>
      <c r="R319" s="174" t="e">
        <f t="shared" si="95"/>
        <v>#VALUE!</v>
      </c>
      <c r="S319" s="7" t="e">
        <f t="shared" si="95"/>
        <v>#VALUE!</v>
      </c>
      <c r="T319" s="7" t="e">
        <f t="shared" si="95"/>
        <v>#VALUE!</v>
      </c>
      <c r="U319" s="7" t="e">
        <f t="shared" si="95"/>
        <v>#VALUE!</v>
      </c>
      <c r="V319" s="179" t="e">
        <f t="shared" si="95"/>
        <v>#VALUE!</v>
      </c>
      <c r="W319" s="7" t="e">
        <f t="shared" si="95"/>
        <v>#VALUE!</v>
      </c>
      <c r="X319" s="7" t="e">
        <f t="shared" si="95"/>
        <v>#VALUE!</v>
      </c>
      <c r="Y319" s="7" t="e">
        <f t="shared" si="95"/>
        <v>#VALUE!</v>
      </c>
      <c r="Z319" s="7" t="e">
        <f t="shared" si="95"/>
        <v>#VALUE!</v>
      </c>
      <c r="AA319" s="175" t="e">
        <f t="shared" si="95"/>
        <v>#VALUE!</v>
      </c>
    </row>
    <row r="320" spans="1:27" ht="16">
      <c r="A320" s="180" t="s">
        <v>22</v>
      </c>
      <c r="B320" s="183" t="e">
        <f>B316+B318+(B314/$B$4)</f>
        <v>#VALUE!</v>
      </c>
      <c r="C320" s="181">
        <f t="shared" ref="C320:AA320" si="96">C316+C318</f>
        <v>0</v>
      </c>
      <c r="D320" s="181">
        <f t="shared" si="96"/>
        <v>0</v>
      </c>
      <c r="E320" s="181">
        <f t="shared" si="96"/>
        <v>0</v>
      </c>
      <c r="F320" s="181">
        <f t="shared" si="96"/>
        <v>0</v>
      </c>
      <c r="G320" s="181" t="e">
        <f>G316+G318</f>
        <v>#VALUE!</v>
      </c>
      <c r="H320" s="181">
        <f t="shared" si="96"/>
        <v>0</v>
      </c>
      <c r="I320" s="181">
        <f t="shared" si="96"/>
        <v>0</v>
      </c>
      <c r="J320" s="181">
        <f t="shared" si="96"/>
        <v>0</v>
      </c>
      <c r="K320" s="181">
        <f t="shared" si="96"/>
        <v>0</v>
      </c>
      <c r="L320" s="181" t="e">
        <f>L316+L318</f>
        <v>#VALUE!</v>
      </c>
      <c r="M320" s="181">
        <f t="shared" si="96"/>
        <v>0</v>
      </c>
      <c r="N320" s="181">
        <f t="shared" si="96"/>
        <v>0</v>
      </c>
      <c r="O320" s="181">
        <f t="shared" si="96"/>
        <v>0</v>
      </c>
      <c r="P320" s="181">
        <f t="shared" si="96"/>
        <v>0</v>
      </c>
      <c r="Q320" s="182" t="e">
        <f>Q316+Q318</f>
        <v>#VALUE!</v>
      </c>
      <c r="R320" s="183">
        <f t="shared" si="96"/>
        <v>0</v>
      </c>
      <c r="S320" s="181">
        <f>S316+S318</f>
        <v>0</v>
      </c>
      <c r="T320" s="181">
        <f t="shared" si="96"/>
        <v>0</v>
      </c>
      <c r="U320" s="181">
        <f t="shared" si="96"/>
        <v>0</v>
      </c>
      <c r="V320" s="182" t="e">
        <f t="shared" si="96"/>
        <v>#VALUE!</v>
      </c>
      <c r="W320" s="181">
        <f t="shared" si="96"/>
        <v>0</v>
      </c>
      <c r="X320" s="181">
        <f t="shared" si="96"/>
        <v>0</v>
      </c>
      <c r="Y320" s="181">
        <f t="shared" si="96"/>
        <v>0</v>
      </c>
      <c r="Z320" s="181">
        <f t="shared" si="96"/>
        <v>0</v>
      </c>
      <c r="AA320" s="182">
        <f t="shared" si="96"/>
        <v>0</v>
      </c>
    </row>
    <row r="321" spans="1:27" s="18" customFormat="1" ht="16" thickBot="1">
      <c r="A321" s="184" t="s">
        <v>87</v>
      </c>
      <c r="B321" s="185" t="e">
        <f>(B320*$B$4)</f>
        <v>#VALUE!</v>
      </c>
      <c r="C321" s="186">
        <f>C320*$B$4</f>
        <v>0</v>
      </c>
      <c r="D321" s="186">
        <f>D320*$B$4</f>
        <v>0</v>
      </c>
      <c r="E321" s="186">
        <f t="shared" ref="E321:V321" si="97">E320*$B$4</f>
        <v>0</v>
      </c>
      <c r="F321" s="186">
        <f t="shared" si="97"/>
        <v>0</v>
      </c>
      <c r="G321" s="186" t="e">
        <f>G320*$B$4</f>
        <v>#VALUE!</v>
      </c>
      <c r="H321" s="186">
        <f t="shared" si="97"/>
        <v>0</v>
      </c>
      <c r="I321" s="186">
        <f t="shared" si="97"/>
        <v>0</v>
      </c>
      <c r="J321" s="186">
        <f t="shared" si="97"/>
        <v>0</v>
      </c>
      <c r="K321" s="186">
        <f t="shared" si="97"/>
        <v>0</v>
      </c>
      <c r="L321" s="186" t="e">
        <f t="shared" si="97"/>
        <v>#VALUE!</v>
      </c>
      <c r="M321" s="186">
        <f t="shared" si="97"/>
        <v>0</v>
      </c>
      <c r="N321" s="186">
        <f t="shared" si="97"/>
        <v>0</v>
      </c>
      <c r="O321" s="186">
        <f t="shared" si="97"/>
        <v>0</v>
      </c>
      <c r="P321" s="186">
        <f t="shared" si="97"/>
        <v>0</v>
      </c>
      <c r="Q321" s="187" t="e">
        <f t="shared" si="97"/>
        <v>#VALUE!</v>
      </c>
      <c r="R321" s="185">
        <f t="shared" si="97"/>
        <v>0</v>
      </c>
      <c r="S321" s="186">
        <f t="shared" si="97"/>
        <v>0</v>
      </c>
      <c r="T321" s="186">
        <f t="shared" si="97"/>
        <v>0</v>
      </c>
      <c r="U321" s="186">
        <f t="shared" si="97"/>
        <v>0</v>
      </c>
      <c r="V321" s="188" t="e">
        <f t="shared" si="97"/>
        <v>#VALUE!</v>
      </c>
      <c r="W321" s="186">
        <f>W320*$B$4</f>
        <v>0</v>
      </c>
      <c r="X321" s="186">
        <f>X320*$B$4</f>
        <v>0</v>
      </c>
      <c r="Y321" s="186">
        <f>Y320*$B$4</f>
        <v>0</v>
      </c>
      <c r="Z321" s="186">
        <f>Z320*$B$4</f>
        <v>0</v>
      </c>
      <c r="AA321" s="189">
        <f>AA320*$B$4</f>
        <v>0</v>
      </c>
    </row>
    <row r="322" spans="1:27">
      <c r="A322" s="6"/>
      <c r="B322" s="139"/>
      <c r="C322" s="7"/>
      <c r="D322" s="7"/>
      <c r="E322" s="7"/>
      <c r="F322" s="7"/>
      <c r="G322" s="7"/>
      <c r="H322" s="7"/>
      <c r="I322" s="7"/>
      <c r="J322" s="7"/>
      <c r="K322" s="7"/>
      <c r="L322" s="7"/>
      <c r="M322" s="7"/>
      <c r="N322" s="7"/>
      <c r="O322" s="7"/>
      <c r="P322" s="7"/>
      <c r="Q322" s="104"/>
      <c r="R322" s="174"/>
      <c r="S322" s="7"/>
      <c r="T322" s="7"/>
      <c r="U322" s="7"/>
      <c r="V322" s="179"/>
      <c r="W322" s="7"/>
      <c r="X322" s="7"/>
      <c r="Y322" s="7"/>
      <c r="Z322" s="7"/>
      <c r="AA322" s="175"/>
    </row>
    <row r="323" spans="1:27">
      <c r="A323" s="209" t="s">
        <v>21</v>
      </c>
      <c r="B323" s="139">
        <v>0</v>
      </c>
      <c r="C323" s="17">
        <v>0.01</v>
      </c>
      <c r="D323" s="17">
        <f>C323+(0.01/($B$312-1))</f>
        <v>1.0416666666666666E-2</v>
      </c>
      <c r="E323" s="17">
        <f t="shared" ref="E323:AA323" si="98">D323+(0.01/($B$312-1))</f>
        <v>1.0833333333333332E-2</v>
      </c>
      <c r="F323" s="17">
        <f t="shared" si="98"/>
        <v>1.1249999999999998E-2</v>
      </c>
      <c r="G323" s="17">
        <f t="shared" si="98"/>
        <v>1.1666666666666664E-2</v>
      </c>
      <c r="H323" s="17">
        <f t="shared" si="98"/>
        <v>1.208333333333333E-2</v>
      </c>
      <c r="I323" s="17">
        <f t="shared" si="98"/>
        <v>1.2499999999999995E-2</v>
      </c>
      <c r="J323" s="17">
        <f>I323+(0.01/($B$312-1))</f>
        <v>1.2916666666666661E-2</v>
      </c>
      <c r="K323" s="17">
        <f t="shared" si="98"/>
        <v>1.3333333333333327E-2</v>
      </c>
      <c r="L323" s="17">
        <f t="shared" si="98"/>
        <v>1.3749999999999993E-2</v>
      </c>
      <c r="M323" s="17">
        <f t="shared" si="98"/>
        <v>1.4166666666666659E-2</v>
      </c>
      <c r="N323" s="17">
        <f>M323+(0.01/($B$312-1))</f>
        <v>1.4583333333333325E-2</v>
      </c>
      <c r="O323" s="17">
        <f t="shared" si="98"/>
        <v>1.4999999999999991E-2</v>
      </c>
      <c r="P323" s="17">
        <f t="shared" si="98"/>
        <v>1.5416666666666657E-2</v>
      </c>
      <c r="Q323" s="190">
        <f t="shared" si="98"/>
        <v>1.5833333333333324E-2</v>
      </c>
      <c r="R323" s="191">
        <f t="shared" si="98"/>
        <v>1.624999999999999E-2</v>
      </c>
      <c r="S323" s="17">
        <f t="shared" si="98"/>
        <v>1.6666666666666656E-2</v>
      </c>
      <c r="T323" s="17">
        <f t="shared" si="98"/>
        <v>1.7083333333333322E-2</v>
      </c>
      <c r="U323" s="17">
        <f t="shared" si="98"/>
        <v>1.7499999999999988E-2</v>
      </c>
      <c r="V323" s="192">
        <f t="shared" si="98"/>
        <v>1.7916666666666654E-2</v>
      </c>
      <c r="W323" s="17">
        <f t="shared" si="98"/>
        <v>1.833333333333332E-2</v>
      </c>
      <c r="X323" s="17">
        <f t="shared" si="98"/>
        <v>1.8749999999999985E-2</v>
      </c>
      <c r="Y323" s="17">
        <f t="shared" si="98"/>
        <v>1.9166666666666651E-2</v>
      </c>
      <c r="Z323" s="17">
        <f t="shared" si="98"/>
        <v>1.9583333333333317E-2</v>
      </c>
      <c r="AA323" s="193">
        <f t="shared" si="98"/>
        <v>1.9999999999999983E-2</v>
      </c>
    </row>
    <row r="324" spans="1:27" ht="16">
      <c r="A324" s="180" t="s">
        <v>23</v>
      </c>
      <c r="B324" s="194" t="e">
        <f>B323*$B$311</f>
        <v>#VALUE!</v>
      </c>
      <c r="C324" s="194" t="e">
        <f>C323*$B$311</f>
        <v>#VALUE!</v>
      </c>
      <c r="D324" s="194" t="e">
        <f>D323*$B$311</f>
        <v>#VALUE!</v>
      </c>
      <c r="E324" s="194" t="e">
        <f>E323*$B$311</f>
        <v>#VALUE!</v>
      </c>
      <c r="F324" s="194" t="e">
        <f t="shared" ref="F324:AA324" si="99">F323*$B$311</f>
        <v>#VALUE!</v>
      </c>
      <c r="G324" s="194" t="e">
        <f t="shared" si="99"/>
        <v>#VALUE!</v>
      </c>
      <c r="H324" s="194" t="e">
        <f t="shared" si="99"/>
        <v>#VALUE!</v>
      </c>
      <c r="I324" s="194" t="e">
        <f>I323*$B$311</f>
        <v>#VALUE!</v>
      </c>
      <c r="J324" s="194" t="e">
        <f t="shared" si="99"/>
        <v>#VALUE!</v>
      </c>
      <c r="K324" s="194" t="e">
        <f t="shared" si="99"/>
        <v>#VALUE!</v>
      </c>
      <c r="L324" s="194" t="e">
        <f t="shared" si="99"/>
        <v>#VALUE!</v>
      </c>
      <c r="M324" s="194" t="e">
        <f t="shared" si="99"/>
        <v>#VALUE!</v>
      </c>
      <c r="N324" s="194" t="e">
        <f t="shared" si="99"/>
        <v>#VALUE!</v>
      </c>
      <c r="O324" s="194" t="e">
        <f t="shared" si="99"/>
        <v>#VALUE!</v>
      </c>
      <c r="P324" s="194" t="e">
        <f t="shared" si="99"/>
        <v>#VALUE!</v>
      </c>
      <c r="Q324" s="195" t="e">
        <f t="shared" si="99"/>
        <v>#VALUE!</v>
      </c>
      <c r="R324" s="196" t="e">
        <f t="shared" si="99"/>
        <v>#VALUE!</v>
      </c>
      <c r="S324" s="194" t="e">
        <f t="shared" si="99"/>
        <v>#VALUE!</v>
      </c>
      <c r="T324" s="194" t="e">
        <f t="shared" si="99"/>
        <v>#VALUE!</v>
      </c>
      <c r="U324" s="194" t="e">
        <f t="shared" si="99"/>
        <v>#VALUE!</v>
      </c>
      <c r="V324" s="195" t="e">
        <f t="shared" si="99"/>
        <v>#VALUE!</v>
      </c>
      <c r="W324" s="194" t="e">
        <f t="shared" si="99"/>
        <v>#VALUE!</v>
      </c>
      <c r="X324" s="194" t="e">
        <f t="shared" si="99"/>
        <v>#VALUE!</v>
      </c>
      <c r="Y324" s="194" t="e">
        <f t="shared" si="99"/>
        <v>#VALUE!</v>
      </c>
      <c r="Z324" s="194" t="e">
        <f t="shared" si="99"/>
        <v>#VALUE!</v>
      </c>
      <c r="AA324" s="195" t="e">
        <f t="shared" si="99"/>
        <v>#VALUE!</v>
      </c>
    </row>
    <row r="325" spans="1:27" s="24" customFormat="1" ht="16" thickBot="1">
      <c r="A325" s="197" t="s">
        <v>88</v>
      </c>
      <c r="B325" s="279" t="e">
        <f t="shared" ref="B325:K325" si="100">B324*$B$4</f>
        <v>#VALUE!</v>
      </c>
      <c r="C325" s="277" t="e">
        <f t="shared" si="100"/>
        <v>#VALUE!</v>
      </c>
      <c r="D325" s="277" t="e">
        <f t="shared" si="100"/>
        <v>#VALUE!</v>
      </c>
      <c r="E325" s="277" t="e">
        <f t="shared" si="100"/>
        <v>#VALUE!</v>
      </c>
      <c r="F325" s="277" t="e">
        <f t="shared" si="100"/>
        <v>#VALUE!</v>
      </c>
      <c r="G325" s="277" t="e">
        <f t="shared" si="100"/>
        <v>#VALUE!</v>
      </c>
      <c r="H325" s="277" t="e">
        <f t="shared" si="100"/>
        <v>#VALUE!</v>
      </c>
      <c r="I325" s="277" t="e">
        <f t="shared" si="100"/>
        <v>#VALUE!</v>
      </c>
      <c r="J325" s="277" t="e">
        <f t="shared" si="100"/>
        <v>#VALUE!</v>
      </c>
      <c r="K325" s="277" t="e">
        <f t="shared" si="100"/>
        <v>#VALUE!</v>
      </c>
      <c r="L325" s="277" t="e">
        <f t="shared" ref="L325:V325" si="101">L324*$B$4</f>
        <v>#VALUE!</v>
      </c>
      <c r="M325" s="277" t="e">
        <f t="shared" si="101"/>
        <v>#VALUE!</v>
      </c>
      <c r="N325" s="277" t="e">
        <f t="shared" si="101"/>
        <v>#VALUE!</v>
      </c>
      <c r="O325" s="277" t="e">
        <f t="shared" si="101"/>
        <v>#VALUE!</v>
      </c>
      <c r="P325" s="277" t="e">
        <f t="shared" si="101"/>
        <v>#VALUE!</v>
      </c>
      <c r="Q325" s="278" t="e">
        <f t="shared" si="101"/>
        <v>#VALUE!</v>
      </c>
      <c r="R325" s="279" t="e">
        <f t="shared" si="101"/>
        <v>#VALUE!</v>
      </c>
      <c r="S325" s="277" t="e">
        <f t="shared" si="101"/>
        <v>#VALUE!</v>
      </c>
      <c r="T325" s="277" t="e">
        <f t="shared" si="101"/>
        <v>#VALUE!</v>
      </c>
      <c r="U325" s="277" t="e">
        <f t="shared" si="101"/>
        <v>#VALUE!</v>
      </c>
      <c r="V325" s="280" t="e">
        <f t="shared" si="101"/>
        <v>#VALUE!</v>
      </c>
      <c r="W325" s="277" t="e">
        <f>W324*$B$4</f>
        <v>#VALUE!</v>
      </c>
      <c r="X325" s="277" t="e">
        <f>X324*$B$4</f>
        <v>#VALUE!</v>
      </c>
      <c r="Y325" s="277" t="e">
        <f>Y324*$B$4</f>
        <v>#VALUE!</v>
      </c>
      <c r="Z325" s="277" t="e">
        <f>Z324*$B$4</f>
        <v>#VALUE!</v>
      </c>
      <c r="AA325" s="281" t="e">
        <f>AA324*$B$4</f>
        <v>#VALUE!</v>
      </c>
    </row>
    <row r="326" spans="1:27">
      <c r="A326" s="199"/>
      <c r="B326" s="174"/>
      <c r="C326" s="7"/>
      <c r="D326" s="7"/>
      <c r="E326" s="7"/>
      <c r="F326" s="7"/>
      <c r="G326" s="7"/>
      <c r="H326" s="7"/>
      <c r="I326" s="7"/>
      <c r="J326" s="7"/>
      <c r="K326" s="7"/>
      <c r="L326" s="7"/>
      <c r="M326" s="7"/>
      <c r="N326" s="7"/>
      <c r="O326" s="7"/>
      <c r="P326" s="7"/>
      <c r="Q326" s="104"/>
      <c r="R326" s="174"/>
      <c r="S326" s="7"/>
      <c r="T326" s="7"/>
      <c r="U326" s="7"/>
      <c r="V326" s="179"/>
      <c r="W326" s="7"/>
      <c r="X326" s="7"/>
      <c r="Y326" s="7"/>
      <c r="Z326" s="7"/>
      <c r="AA326" s="175"/>
    </row>
    <row r="327" spans="1:27">
      <c r="A327" s="6" t="s">
        <v>25</v>
      </c>
      <c r="B327" s="139">
        <v>0</v>
      </c>
      <c r="C327" s="259" t="str">
        <f>B301</f>
        <v/>
      </c>
      <c r="D327" s="259" t="e">
        <f t="shared" ref="D327:AA327" si="102">C327+C328</f>
        <v>#VALUE!</v>
      </c>
      <c r="E327" s="259" t="e">
        <f t="shared" si="102"/>
        <v>#VALUE!</v>
      </c>
      <c r="F327" s="259" t="e">
        <f t="shared" si="102"/>
        <v>#VALUE!</v>
      </c>
      <c r="G327" s="259" t="e">
        <f t="shared" si="102"/>
        <v>#VALUE!</v>
      </c>
      <c r="H327" s="259" t="e">
        <f t="shared" si="102"/>
        <v>#VALUE!</v>
      </c>
      <c r="I327" s="259" t="e">
        <f t="shared" si="102"/>
        <v>#VALUE!</v>
      </c>
      <c r="J327" s="259" t="e">
        <f t="shared" si="102"/>
        <v>#VALUE!</v>
      </c>
      <c r="K327" s="259" t="e">
        <f t="shared" si="102"/>
        <v>#VALUE!</v>
      </c>
      <c r="L327" s="259" t="e">
        <f t="shared" si="102"/>
        <v>#VALUE!</v>
      </c>
      <c r="M327" s="259" t="e">
        <f t="shared" si="102"/>
        <v>#VALUE!</v>
      </c>
      <c r="N327" s="259" t="e">
        <f>M327+M328</f>
        <v>#VALUE!</v>
      </c>
      <c r="O327" s="259" t="e">
        <f t="shared" si="102"/>
        <v>#VALUE!</v>
      </c>
      <c r="P327" s="259" t="e">
        <f t="shared" si="102"/>
        <v>#VALUE!</v>
      </c>
      <c r="Q327" s="105" t="e">
        <f t="shared" si="102"/>
        <v>#VALUE!</v>
      </c>
      <c r="R327" s="260" t="e">
        <f t="shared" si="102"/>
        <v>#VALUE!</v>
      </c>
      <c r="S327" s="259" t="e">
        <f t="shared" si="102"/>
        <v>#VALUE!</v>
      </c>
      <c r="T327" s="259" t="e">
        <f t="shared" si="102"/>
        <v>#VALUE!</v>
      </c>
      <c r="U327" s="259" t="e">
        <f t="shared" si="102"/>
        <v>#VALUE!</v>
      </c>
      <c r="V327" s="261" t="e">
        <f t="shared" si="102"/>
        <v>#VALUE!</v>
      </c>
      <c r="W327" s="259" t="e">
        <f t="shared" si="102"/>
        <v>#VALUE!</v>
      </c>
      <c r="X327" s="259" t="e">
        <f t="shared" si="102"/>
        <v>#VALUE!</v>
      </c>
      <c r="Y327" s="259" t="e">
        <f t="shared" si="102"/>
        <v>#VALUE!</v>
      </c>
      <c r="Z327" s="259" t="e">
        <f t="shared" si="102"/>
        <v>#VALUE!</v>
      </c>
      <c r="AA327" s="262" t="e">
        <f t="shared" si="102"/>
        <v>#VALUE!</v>
      </c>
    </row>
    <row r="328" spans="1:27">
      <c r="A328" s="6" t="s">
        <v>248</v>
      </c>
      <c r="B328" s="139"/>
      <c r="C328" s="259" t="e">
        <f>C327*$B$302</f>
        <v>#VALUE!</v>
      </c>
      <c r="D328" s="259" t="e">
        <f t="shared" ref="D328:AA328" si="103">D327*$B$302</f>
        <v>#VALUE!</v>
      </c>
      <c r="E328" s="259" t="e">
        <f t="shared" si="103"/>
        <v>#VALUE!</v>
      </c>
      <c r="F328" s="259" t="e">
        <f t="shared" si="103"/>
        <v>#VALUE!</v>
      </c>
      <c r="G328" s="259" t="e">
        <f t="shared" si="103"/>
        <v>#VALUE!</v>
      </c>
      <c r="H328" s="259" t="e">
        <f t="shared" si="103"/>
        <v>#VALUE!</v>
      </c>
      <c r="I328" s="259" t="e">
        <f t="shared" si="103"/>
        <v>#VALUE!</v>
      </c>
      <c r="J328" s="259" t="e">
        <f t="shared" si="103"/>
        <v>#VALUE!</v>
      </c>
      <c r="K328" s="259" t="e">
        <f t="shared" si="103"/>
        <v>#VALUE!</v>
      </c>
      <c r="L328" s="259" t="e">
        <f t="shared" si="103"/>
        <v>#VALUE!</v>
      </c>
      <c r="M328" s="259" t="e">
        <f t="shared" si="103"/>
        <v>#VALUE!</v>
      </c>
      <c r="N328" s="259" t="e">
        <f t="shared" si="103"/>
        <v>#VALUE!</v>
      </c>
      <c r="O328" s="259" t="e">
        <f t="shared" si="103"/>
        <v>#VALUE!</v>
      </c>
      <c r="P328" s="259" t="e">
        <f t="shared" si="103"/>
        <v>#VALUE!</v>
      </c>
      <c r="Q328" s="105" t="e">
        <f t="shared" si="103"/>
        <v>#VALUE!</v>
      </c>
      <c r="R328" s="260" t="e">
        <f t="shared" si="103"/>
        <v>#VALUE!</v>
      </c>
      <c r="S328" s="259" t="e">
        <f t="shared" si="103"/>
        <v>#VALUE!</v>
      </c>
      <c r="T328" s="259" t="e">
        <f t="shared" si="103"/>
        <v>#VALUE!</v>
      </c>
      <c r="U328" s="259" t="e">
        <f t="shared" si="103"/>
        <v>#VALUE!</v>
      </c>
      <c r="V328" s="261" t="e">
        <f t="shared" si="103"/>
        <v>#VALUE!</v>
      </c>
      <c r="W328" s="259" t="e">
        <f t="shared" si="103"/>
        <v>#VALUE!</v>
      </c>
      <c r="X328" s="259" t="e">
        <f t="shared" si="103"/>
        <v>#VALUE!</v>
      </c>
      <c r="Y328" s="259" t="e">
        <f t="shared" si="103"/>
        <v>#VALUE!</v>
      </c>
      <c r="Z328" s="259" t="e">
        <f t="shared" si="103"/>
        <v>#VALUE!</v>
      </c>
      <c r="AA328" s="262" t="e">
        <f t="shared" si="103"/>
        <v>#VALUE!</v>
      </c>
    </row>
    <row r="329" spans="1:27" ht="16">
      <c r="A329" s="180" t="s">
        <v>24</v>
      </c>
      <c r="B329" s="194">
        <f>B327*(($B$303*(1/$B$306))+IF(ISERROR($B$310),0,($B$307*(1/$B$310))))</f>
        <v>0</v>
      </c>
      <c r="C329" s="194" t="e">
        <f>C327*(($B$303*(1/$B$306))+IF(ISERROR($B$310),0,($B$307*(1/$B$310))))</f>
        <v>#VALUE!</v>
      </c>
      <c r="D329" s="194" t="e">
        <f t="shared" ref="D329:AA329" si="104">D327*(($B$303*(1/$B$306))+IF(ISERROR($B$310),0,($B$307*(1/$B$310))))</f>
        <v>#VALUE!</v>
      </c>
      <c r="E329" s="194" t="e">
        <f t="shared" si="104"/>
        <v>#VALUE!</v>
      </c>
      <c r="F329" s="194" t="e">
        <f t="shared" si="104"/>
        <v>#VALUE!</v>
      </c>
      <c r="G329" s="194" t="e">
        <f t="shared" si="104"/>
        <v>#VALUE!</v>
      </c>
      <c r="H329" s="194" t="e">
        <f t="shared" si="104"/>
        <v>#VALUE!</v>
      </c>
      <c r="I329" s="194" t="e">
        <f t="shared" si="104"/>
        <v>#VALUE!</v>
      </c>
      <c r="J329" s="194" t="e">
        <f t="shared" si="104"/>
        <v>#VALUE!</v>
      </c>
      <c r="K329" s="194" t="e">
        <f t="shared" si="104"/>
        <v>#VALUE!</v>
      </c>
      <c r="L329" s="194" t="e">
        <f t="shared" si="104"/>
        <v>#VALUE!</v>
      </c>
      <c r="M329" s="194" t="e">
        <f t="shared" si="104"/>
        <v>#VALUE!</v>
      </c>
      <c r="N329" s="194" t="e">
        <f t="shared" si="104"/>
        <v>#VALUE!</v>
      </c>
      <c r="O329" s="194" t="e">
        <f t="shared" si="104"/>
        <v>#VALUE!</v>
      </c>
      <c r="P329" s="194" t="e">
        <f t="shared" si="104"/>
        <v>#VALUE!</v>
      </c>
      <c r="Q329" s="195" t="e">
        <f t="shared" si="104"/>
        <v>#VALUE!</v>
      </c>
      <c r="R329" s="196" t="e">
        <f t="shared" si="104"/>
        <v>#VALUE!</v>
      </c>
      <c r="S329" s="194" t="e">
        <f t="shared" si="104"/>
        <v>#VALUE!</v>
      </c>
      <c r="T329" s="194" t="e">
        <f t="shared" si="104"/>
        <v>#VALUE!</v>
      </c>
      <c r="U329" s="194" t="e">
        <f t="shared" si="104"/>
        <v>#VALUE!</v>
      </c>
      <c r="V329" s="195" t="e">
        <f t="shared" si="104"/>
        <v>#VALUE!</v>
      </c>
      <c r="W329" s="194" t="e">
        <f t="shared" si="104"/>
        <v>#VALUE!</v>
      </c>
      <c r="X329" s="194" t="e">
        <f t="shared" si="104"/>
        <v>#VALUE!</v>
      </c>
      <c r="Y329" s="194" t="e">
        <f t="shared" si="104"/>
        <v>#VALUE!</v>
      </c>
      <c r="Z329" s="194" t="e">
        <f t="shared" si="104"/>
        <v>#VALUE!</v>
      </c>
      <c r="AA329" s="195" t="e">
        <f t="shared" si="104"/>
        <v>#VALUE!</v>
      </c>
    </row>
    <row r="330" spans="1:27" s="24" customFormat="1" ht="16" thickBot="1">
      <c r="A330" s="197" t="s">
        <v>89</v>
      </c>
      <c r="B330" s="292">
        <f>B329*$B$4</f>
        <v>0</v>
      </c>
      <c r="C330" s="272" t="e">
        <f>C329*$B$4</f>
        <v>#VALUE!</v>
      </c>
      <c r="D330" s="272" t="e">
        <f>D329*$B$4</f>
        <v>#VALUE!</v>
      </c>
      <c r="E330" s="272" t="e">
        <f>E329*$B$4</f>
        <v>#VALUE!</v>
      </c>
      <c r="F330" s="272" t="e">
        <f t="shared" ref="F330:V330" si="105">F329*$B$4</f>
        <v>#VALUE!</v>
      </c>
      <c r="G330" s="272" t="e">
        <f t="shared" si="105"/>
        <v>#VALUE!</v>
      </c>
      <c r="H330" s="272" t="e">
        <f t="shared" si="105"/>
        <v>#VALUE!</v>
      </c>
      <c r="I330" s="272" t="e">
        <f t="shared" si="105"/>
        <v>#VALUE!</v>
      </c>
      <c r="J330" s="272" t="e">
        <f t="shared" si="105"/>
        <v>#VALUE!</v>
      </c>
      <c r="K330" s="272" t="e">
        <f t="shared" si="105"/>
        <v>#VALUE!</v>
      </c>
      <c r="L330" s="272" t="e">
        <f t="shared" si="105"/>
        <v>#VALUE!</v>
      </c>
      <c r="M330" s="272" t="e">
        <f t="shared" si="105"/>
        <v>#VALUE!</v>
      </c>
      <c r="N330" s="272" t="e">
        <f t="shared" si="105"/>
        <v>#VALUE!</v>
      </c>
      <c r="O330" s="272" t="e">
        <f t="shared" si="105"/>
        <v>#VALUE!</v>
      </c>
      <c r="P330" s="272" t="e">
        <f t="shared" si="105"/>
        <v>#VALUE!</v>
      </c>
      <c r="Q330" s="273" t="e">
        <f t="shared" si="105"/>
        <v>#VALUE!</v>
      </c>
      <c r="R330" s="274" t="e">
        <f t="shared" si="105"/>
        <v>#VALUE!</v>
      </c>
      <c r="S330" s="272" t="e">
        <f t="shared" si="105"/>
        <v>#VALUE!</v>
      </c>
      <c r="T330" s="272" t="e">
        <f t="shared" si="105"/>
        <v>#VALUE!</v>
      </c>
      <c r="U330" s="272" t="e">
        <f t="shared" si="105"/>
        <v>#VALUE!</v>
      </c>
      <c r="V330" s="275" t="e">
        <f t="shared" si="105"/>
        <v>#VALUE!</v>
      </c>
      <c r="W330" s="272" t="e">
        <f>W329*$B$4</f>
        <v>#VALUE!</v>
      </c>
      <c r="X330" s="272" t="e">
        <f>X329*$B$4</f>
        <v>#VALUE!</v>
      </c>
      <c r="Y330" s="272" t="e">
        <f>Y329*$B$4</f>
        <v>#VALUE!</v>
      </c>
      <c r="Z330" s="272" t="e">
        <f>Z329*$B$4</f>
        <v>#VALUE!</v>
      </c>
      <c r="AA330" s="276" t="e">
        <f>AA329*$B$4</f>
        <v>#VALUE!</v>
      </c>
    </row>
    <row r="331" spans="1:27" s="24" customFormat="1">
      <c r="A331" s="167"/>
      <c r="B331" s="168"/>
      <c r="C331" s="169"/>
      <c r="D331" s="169"/>
      <c r="E331" s="169"/>
      <c r="F331" s="169"/>
      <c r="G331" s="169"/>
      <c r="H331" s="169"/>
      <c r="I331" s="169"/>
      <c r="J331" s="169"/>
      <c r="K331" s="169"/>
      <c r="L331" s="169"/>
      <c r="M331" s="169"/>
      <c r="N331" s="169"/>
      <c r="O331" s="169"/>
      <c r="P331" s="169"/>
      <c r="Q331" s="170"/>
      <c r="R331" s="171"/>
      <c r="S331" s="169"/>
      <c r="T331" s="169"/>
      <c r="U331" s="169"/>
      <c r="V331" s="172"/>
      <c r="W331" s="169"/>
      <c r="X331" s="169"/>
      <c r="Y331" s="169"/>
      <c r="Z331" s="169"/>
      <c r="AA331" s="173"/>
    </row>
    <row r="332" spans="1:27" ht="16">
      <c r="A332" s="6" t="s">
        <v>34</v>
      </c>
      <c r="B332" s="291" t="e">
        <f>B320+B324+B329</f>
        <v>#VALUE!</v>
      </c>
      <c r="C332" s="118" t="e">
        <f>C320+C324+C329</f>
        <v>#VALUE!</v>
      </c>
      <c r="D332" s="118" t="e">
        <f t="shared" ref="D332:Q332" si="106">D320+D324+D329</f>
        <v>#VALUE!</v>
      </c>
      <c r="E332" s="118" t="e">
        <f t="shared" si="106"/>
        <v>#VALUE!</v>
      </c>
      <c r="F332" s="118" t="e">
        <f t="shared" si="106"/>
        <v>#VALUE!</v>
      </c>
      <c r="G332" s="118" t="e">
        <f>G320+G324+G329</f>
        <v>#VALUE!</v>
      </c>
      <c r="H332" s="118" t="e">
        <f t="shared" si="106"/>
        <v>#VALUE!</v>
      </c>
      <c r="I332" s="118" t="e">
        <f t="shared" si="106"/>
        <v>#VALUE!</v>
      </c>
      <c r="J332" s="118" t="e">
        <f t="shared" si="106"/>
        <v>#VALUE!</v>
      </c>
      <c r="K332" s="118" t="e">
        <f t="shared" si="106"/>
        <v>#VALUE!</v>
      </c>
      <c r="L332" s="118" t="e">
        <f t="shared" si="106"/>
        <v>#VALUE!</v>
      </c>
      <c r="M332" s="118" t="e">
        <f t="shared" si="106"/>
        <v>#VALUE!</v>
      </c>
      <c r="N332" s="118" t="e">
        <f t="shared" si="106"/>
        <v>#VALUE!</v>
      </c>
      <c r="O332" s="118" t="e">
        <f t="shared" si="106"/>
        <v>#VALUE!</v>
      </c>
      <c r="P332" s="118" t="e">
        <f t="shared" si="106"/>
        <v>#VALUE!</v>
      </c>
      <c r="Q332" s="202" t="e">
        <f t="shared" si="106"/>
        <v>#VALUE!</v>
      </c>
      <c r="R332" s="136" t="e">
        <f t="shared" ref="R332:AA332" si="107">R320+R324+R329</f>
        <v>#VALUE!</v>
      </c>
      <c r="S332" s="118" t="e">
        <f t="shared" si="107"/>
        <v>#VALUE!</v>
      </c>
      <c r="T332" s="118" t="e">
        <f t="shared" si="107"/>
        <v>#VALUE!</v>
      </c>
      <c r="U332" s="118" t="e">
        <f t="shared" si="107"/>
        <v>#VALUE!</v>
      </c>
      <c r="V332" s="203" t="e">
        <f t="shared" si="107"/>
        <v>#VALUE!</v>
      </c>
      <c r="W332" s="118" t="e">
        <f t="shared" si="107"/>
        <v>#VALUE!</v>
      </c>
      <c r="X332" s="118" t="e">
        <f t="shared" si="107"/>
        <v>#VALUE!</v>
      </c>
      <c r="Y332" s="118" t="e">
        <f t="shared" si="107"/>
        <v>#VALUE!</v>
      </c>
      <c r="Z332" s="118" t="e">
        <f t="shared" si="107"/>
        <v>#VALUE!</v>
      </c>
      <c r="AA332" s="204" t="e">
        <f t="shared" si="107"/>
        <v>#VALUE!</v>
      </c>
    </row>
    <row r="333" spans="1:27" ht="16" thickBot="1">
      <c r="A333" s="135" t="s">
        <v>35</v>
      </c>
      <c r="B333" s="243" t="e">
        <f>($B$4*B332)</f>
        <v>#VALUE!</v>
      </c>
      <c r="C333" s="243" t="e">
        <f>$B$4*C332</f>
        <v>#VALUE!</v>
      </c>
      <c r="D333" s="243" t="e">
        <f>$B$4*D332</f>
        <v>#VALUE!</v>
      </c>
      <c r="E333" s="243" t="e">
        <f t="shared" ref="E333:V333" si="108">$B$4*E332</f>
        <v>#VALUE!</v>
      </c>
      <c r="F333" s="243" t="e">
        <f t="shared" si="108"/>
        <v>#VALUE!</v>
      </c>
      <c r="G333" s="243" t="e">
        <f t="shared" si="108"/>
        <v>#VALUE!</v>
      </c>
      <c r="H333" s="243" t="e">
        <f t="shared" si="108"/>
        <v>#VALUE!</v>
      </c>
      <c r="I333" s="243" t="e">
        <f t="shared" si="108"/>
        <v>#VALUE!</v>
      </c>
      <c r="J333" s="243" t="e">
        <f t="shared" si="108"/>
        <v>#VALUE!</v>
      </c>
      <c r="K333" s="243" t="e">
        <f t="shared" si="108"/>
        <v>#VALUE!</v>
      </c>
      <c r="L333" s="243" t="e">
        <f t="shared" si="108"/>
        <v>#VALUE!</v>
      </c>
      <c r="M333" s="243" t="e">
        <f t="shared" si="108"/>
        <v>#VALUE!</v>
      </c>
      <c r="N333" s="243" t="e">
        <f t="shared" si="108"/>
        <v>#VALUE!</v>
      </c>
      <c r="O333" s="243" t="e">
        <f t="shared" si="108"/>
        <v>#VALUE!</v>
      </c>
      <c r="P333" s="243" t="e">
        <f t="shared" si="108"/>
        <v>#VALUE!</v>
      </c>
      <c r="Q333" s="250" t="e">
        <f t="shared" si="108"/>
        <v>#VALUE!</v>
      </c>
      <c r="R333" s="251" t="e">
        <f t="shared" si="108"/>
        <v>#VALUE!</v>
      </c>
      <c r="S333" s="243" t="e">
        <f t="shared" si="108"/>
        <v>#VALUE!</v>
      </c>
      <c r="T333" s="243" t="e">
        <f t="shared" si="108"/>
        <v>#VALUE!</v>
      </c>
      <c r="U333" s="243" t="e">
        <f t="shared" si="108"/>
        <v>#VALUE!</v>
      </c>
      <c r="V333" s="265" t="e">
        <f t="shared" si="108"/>
        <v>#VALUE!</v>
      </c>
      <c r="W333" s="243" t="e">
        <f>$B$4*W332</f>
        <v>#VALUE!</v>
      </c>
      <c r="X333" s="243" t="e">
        <f>$B$4*X332</f>
        <v>#VALUE!</v>
      </c>
      <c r="Y333" s="243" t="e">
        <f>$B$4*Y332</f>
        <v>#VALUE!</v>
      </c>
      <c r="Z333" s="243" t="e">
        <f>$B$4*Z332</f>
        <v>#VALUE!</v>
      </c>
      <c r="AA333" s="32" t="e">
        <f>$B$4*AA332</f>
        <v>#VALUE!</v>
      </c>
    </row>
    <row r="334" spans="1:27" ht="17" thickTop="1" thickBot="1">
      <c r="A334" s="236"/>
      <c r="B334" s="28" t="s">
        <v>98</v>
      </c>
      <c r="C334" s="29" t="s">
        <v>91</v>
      </c>
      <c r="D334" s="30" t="s">
        <v>92</v>
      </c>
      <c r="E334" s="205"/>
      <c r="F334" s="205"/>
      <c r="G334" s="205"/>
      <c r="H334" s="205"/>
      <c r="I334" s="205"/>
      <c r="J334" s="205"/>
      <c r="K334" s="205"/>
      <c r="L334" s="205"/>
      <c r="M334" s="205"/>
      <c r="N334" s="263"/>
      <c r="O334" s="263"/>
      <c r="P334" s="263"/>
      <c r="Q334" s="263"/>
      <c r="R334" s="263"/>
      <c r="S334" s="263"/>
      <c r="T334" s="263"/>
      <c r="U334" s="263"/>
      <c r="V334" s="263"/>
      <c r="W334" s="263"/>
      <c r="X334" s="263"/>
      <c r="Y334" s="263"/>
      <c r="Z334" s="263"/>
      <c r="AA334" s="263"/>
    </row>
    <row r="335" spans="1:27" ht="16">
      <c r="A335" s="6" t="s">
        <v>36</v>
      </c>
      <c r="B335" s="206" t="e">
        <f>NPV($B$5,C332,D332:Q332)+B332-(Q319/((1+B313)^15))</f>
        <v>#VALUE!</v>
      </c>
      <c r="C335" s="207" t="e">
        <f>NPV($B$5,C332,D332:V332)+B332-(V319/((1+B313)^20))</f>
        <v>#VALUE!</v>
      </c>
      <c r="D335" s="31" t="e">
        <f>NPV($B$5,C332,D332:AA332)+B332-(AA319/((1+B313)^25))</f>
        <v>#VALUE!</v>
      </c>
      <c r="E335" s="208"/>
      <c r="F335" s="5"/>
      <c r="G335" s="5"/>
      <c r="H335" s="5"/>
      <c r="I335" s="5"/>
      <c r="J335" s="5"/>
      <c r="K335" s="5"/>
      <c r="L335" s="5"/>
      <c r="M335" s="5"/>
      <c r="N335" s="5"/>
      <c r="O335" s="5"/>
      <c r="P335" s="5"/>
      <c r="Q335" s="5"/>
      <c r="R335" s="5"/>
      <c r="S335" s="5"/>
      <c r="T335" s="5"/>
      <c r="U335" s="5"/>
      <c r="V335" s="5"/>
      <c r="W335" s="5"/>
      <c r="X335" s="4"/>
      <c r="Y335" s="4"/>
      <c r="Z335" s="4"/>
      <c r="AA335" s="4"/>
    </row>
    <row r="336" spans="1:27">
      <c r="A336" s="264" t="s">
        <v>37</v>
      </c>
      <c r="B336" s="210" t="e">
        <f>(NPV(B313,C333,D333:Q333))+B333-(Q319*$B$4/(1+B313)^15)</f>
        <v>#VALUE!</v>
      </c>
      <c r="C336" s="211" t="e">
        <f>(NPV(B313,C333,D333:V333))+B333-(V319*$B$4/(1+B313)^20)</f>
        <v>#VALUE!</v>
      </c>
      <c r="D336" s="212" t="e">
        <f>(NPV(B313,C333,D333:AA333))+B333-(AA319*$B$4/(1+B313)^25)</f>
        <v>#VALUE!</v>
      </c>
      <c r="E336" s="213"/>
      <c r="F336" s="213"/>
      <c r="G336" s="213"/>
      <c r="H336" s="214"/>
      <c r="I336" s="23"/>
      <c r="J336" s="23"/>
      <c r="K336" s="23"/>
      <c r="L336" s="23"/>
      <c r="M336" s="23"/>
      <c r="N336" s="23"/>
      <c r="O336" s="23"/>
      <c r="P336" s="23"/>
      <c r="Q336" s="23"/>
      <c r="R336" s="23"/>
      <c r="S336" s="23"/>
      <c r="T336" s="23"/>
      <c r="U336" s="23"/>
      <c r="V336" s="23"/>
      <c r="W336" s="23"/>
      <c r="X336" s="4"/>
      <c r="Y336" s="4"/>
      <c r="Z336" s="4"/>
      <c r="AA336" s="4"/>
    </row>
    <row r="337" spans="1:27">
      <c r="A337" s="209" t="s">
        <v>85</v>
      </c>
      <c r="B337" s="210" t="e">
        <f>NPV(B313,C321,D321:Q321)+B321-(Q319*$B$4/(1+B313)^15)</f>
        <v>#VALUE!</v>
      </c>
      <c r="C337" s="211" t="e">
        <f>NPV(B313,C321,D321:V321)+B321-(V319*$B$4/(1+B313)^20)</f>
        <v>#VALUE!</v>
      </c>
      <c r="D337" s="212" t="e">
        <f>NPV(B313,C321,D321:AA321)+B321-(AA319*$B$4/(1+B313)^25)</f>
        <v>#VALUE!</v>
      </c>
      <c r="E337" s="213"/>
      <c r="F337" s="213"/>
      <c r="G337" s="213"/>
      <c r="H337" s="214"/>
      <c r="I337" s="23"/>
      <c r="J337" s="23"/>
      <c r="K337" s="23"/>
      <c r="L337" s="23"/>
      <c r="M337" s="23"/>
      <c r="N337" s="23"/>
      <c r="O337" s="23"/>
      <c r="P337" s="23"/>
      <c r="Q337" s="23"/>
      <c r="R337" s="23"/>
      <c r="S337" s="23"/>
      <c r="T337" s="23"/>
      <c r="U337" s="23"/>
      <c r="V337" s="23"/>
      <c r="W337" s="23"/>
      <c r="X337" s="4"/>
      <c r="Y337" s="4"/>
      <c r="Z337" s="4"/>
      <c r="AA337" s="4"/>
    </row>
    <row r="338" spans="1:27">
      <c r="A338" s="209" t="s">
        <v>86</v>
      </c>
      <c r="B338" s="210" t="e">
        <f>NPV(B313,C325,D325:Q325)+B325</f>
        <v>#VALUE!</v>
      </c>
      <c r="C338" s="211" t="e">
        <f>NPV(B313,C325,D325:V325)+B325</f>
        <v>#VALUE!</v>
      </c>
      <c r="D338" s="212" t="e">
        <f>NPV(B313,C325,D325:AA325)+B325</f>
        <v>#VALUE!</v>
      </c>
      <c r="E338" s="213"/>
      <c r="F338" s="213"/>
      <c r="G338" s="213"/>
      <c r="H338" s="214"/>
      <c r="I338" s="23"/>
      <c r="J338" s="23"/>
      <c r="K338" s="23"/>
      <c r="L338" s="23"/>
      <c r="M338" s="23"/>
      <c r="N338" s="23"/>
      <c r="O338" s="23"/>
      <c r="P338" s="23"/>
      <c r="Q338" s="23"/>
      <c r="R338" s="23"/>
      <c r="S338" s="23"/>
      <c r="T338" s="23"/>
      <c r="U338" s="23"/>
      <c r="V338" s="23"/>
      <c r="W338" s="23"/>
      <c r="X338" s="4"/>
      <c r="Y338" s="4"/>
      <c r="Z338" s="4"/>
      <c r="AA338" s="4"/>
    </row>
    <row r="339" spans="1:27">
      <c r="A339" s="209" t="s">
        <v>90</v>
      </c>
      <c r="B339" s="210" t="e">
        <f>NPV(B313,C330,D330:Q330)+B330</f>
        <v>#VALUE!</v>
      </c>
      <c r="C339" s="211" t="e">
        <f>NPV(B313,C330,D330:V330)+B330</f>
        <v>#VALUE!</v>
      </c>
      <c r="D339" s="212" t="e">
        <f>NPV(B313,C330,D330:AA330)+B330</f>
        <v>#VALUE!</v>
      </c>
      <c r="E339" s="213"/>
      <c r="F339" s="213"/>
      <c r="G339" s="213"/>
      <c r="H339" s="214"/>
      <c r="I339" s="23"/>
      <c r="J339" s="23"/>
      <c r="K339" s="23"/>
      <c r="L339" s="23"/>
      <c r="M339" s="23"/>
      <c r="N339" s="23"/>
      <c r="O339" s="23"/>
      <c r="P339" s="23"/>
      <c r="Q339" s="23"/>
      <c r="R339" s="23"/>
      <c r="S339" s="23"/>
      <c r="T339" s="23"/>
      <c r="U339" s="23"/>
      <c r="V339" s="23"/>
      <c r="W339" s="23"/>
      <c r="X339" s="4"/>
      <c r="Y339" s="4"/>
      <c r="Z339" s="4"/>
      <c r="AA339" s="4"/>
    </row>
    <row r="340" spans="1:27" s="1" customFormat="1" ht="16" thickBot="1">
      <c r="A340" s="215" t="s">
        <v>303</v>
      </c>
      <c r="B340" s="216" t="e">
        <f>((Q319-Q318)/(1+B313)^15)*$B$4</f>
        <v>#VALUE!</v>
      </c>
      <c r="C340" s="217" t="e">
        <f>((V319-V318)/(1+B313)^20)*$B$4</f>
        <v>#VALUE!</v>
      </c>
      <c r="D340" s="218" t="e">
        <f>(AA319/(1+B313)^25)*$B$4</f>
        <v>#VALUE!</v>
      </c>
      <c r="E340" s="219"/>
      <c r="F340" s="219"/>
      <c r="G340" s="219"/>
      <c r="H340" s="23"/>
      <c r="I340" s="23"/>
      <c r="J340" s="23"/>
      <c r="K340" s="23"/>
      <c r="L340" s="23"/>
      <c r="M340" s="23"/>
      <c r="N340" s="23"/>
      <c r="O340" s="23"/>
      <c r="P340" s="23"/>
      <c r="Q340" s="23"/>
      <c r="R340" s="23"/>
      <c r="S340" s="23"/>
      <c r="T340" s="23"/>
      <c r="U340" s="23"/>
      <c r="V340" s="23"/>
      <c r="W340" s="23"/>
      <c r="X340" s="3"/>
      <c r="Y340" s="3"/>
      <c r="Z340" s="3"/>
      <c r="AA340" s="3"/>
    </row>
    <row r="341" spans="1:27" ht="16" thickTop="1">
      <c r="A341" s="4"/>
      <c r="B341" s="480"/>
      <c r="C341" s="480"/>
      <c r="D341" s="480"/>
      <c r="E341" s="5"/>
      <c r="F341" s="5"/>
      <c r="G341" s="5"/>
      <c r="H341" s="5"/>
      <c r="I341" s="5"/>
      <c r="J341" s="5"/>
      <c r="K341" s="5"/>
      <c r="L341" s="5"/>
      <c r="M341" s="5"/>
      <c r="N341" s="5"/>
      <c r="O341" s="5"/>
      <c r="P341" s="5"/>
      <c r="Q341" s="5"/>
      <c r="R341" s="5"/>
      <c r="S341" s="5"/>
      <c r="T341" s="5"/>
      <c r="U341" s="5"/>
      <c r="V341" s="4"/>
      <c r="W341" s="4"/>
      <c r="X341" s="4"/>
      <c r="Y341" s="4"/>
      <c r="Z341" s="4"/>
      <c r="AA341" s="4"/>
    </row>
    <row r="342" spans="1:27" ht="16" thickBot="1">
      <c r="A342" s="4"/>
      <c r="B342" s="481"/>
      <c r="C342" s="13"/>
      <c r="D342" s="486"/>
      <c r="E342" s="5"/>
      <c r="F342" s="5"/>
      <c r="G342" s="5"/>
      <c r="H342" s="5"/>
      <c r="I342" s="5"/>
      <c r="J342" s="5"/>
      <c r="K342" s="5"/>
      <c r="L342" s="5"/>
      <c r="M342" s="5"/>
      <c r="N342" s="5"/>
      <c r="O342" s="5"/>
      <c r="P342" s="5"/>
      <c r="Q342" s="5"/>
      <c r="R342" s="5"/>
      <c r="S342" s="5"/>
      <c r="T342" s="5"/>
      <c r="U342" s="5"/>
      <c r="V342" s="5"/>
      <c r="W342" s="4"/>
      <c r="X342" s="4"/>
      <c r="Y342" s="4"/>
      <c r="Z342" s="4"/>
      <c r="AA342" s="4"/>
    </row>
    <row r="343" spans="1:27" ht="36" customHeight="1" thickTop="1" thickBot="1">
      <c r="A343" s="1016" t="s">
        <v>351</v>
      </c>
      <c r="B343" s="1015"/>
      <c r="C343" s="255"/>
      <c r="D343" s="255"/>
      <c r="E343" s="149"/>
      <c r="F343" s="149"/>
      <c r="G343" s="149"/>
      <c r="H343" s="149"/>
      <c r="I343" s="149"/>
      <c r="J343" s="149"/>
      <c r="K343" s="149"/>
      <c r="L343" s="149"/>
      <c r="M343" s="149"/>
      <c r="N343" s="149"/>
      <c r="O343" s="149"/>
      <c r="P343" s="149"/>
      <c r="Q343" s="149"/>
      <c r="R343" s="149"/>
      <c r="S343" s="149"/>
      <c r="T343" s="149"/>
      <c r="U343" s="149"/>
      <c r="V343" s="149"/>
      <c r="W343" s="4"/>
      <c r="X343" s="4"/>
      <c r="Y343" s="4"/>
      <c r="Z343" s="4"/>
      <c r="AA343" s="4"/>
    </row>
    <row r="344" spans="1:27">
      <c r="A344" s="150" t="s">
        <v>83</v>
      </c>
      <c r="B344" s="657" t="str">
        <f>IF(Inputs!E31="No","",Inputs!$D$16)</f>
        <v/>
      </c>
      <c r="C344" s="152" t="s">
        <v>193</v>
      </c>
      <c r="D344" s="255"/>
      <c r="E344" s="149"/>
      <c r="F344" s="149"/>
      <c r="G344" s="149"/>
      <c r="H344" s="149"/>
      <c r="I344" s="149"/>
      <c r="J344" s="149"/>
      <c r="K344" s="149"/>
      <c r="L344" s="149"/>
      <c r="M344" s="149"/>
      <c r="N344" s="149"/>
      <c r="O344" s="149"/>
      <c r="P344" s="149"/>
      <c r="Q344" s="149"/>
      <c r="R344" s="149"/>
      <c r="S344" s="149"/>
      <c r="T344" s="149"/>
      <c r="U344" s="149"/>
      <c r="V344" s="149"/>
      <c r="W344" s="4"/>
      <c r="X344" s="4"/>
      <c r="Y344" s="4"/>
      <c r="Z344" s="4"/>
      <c r="AA344" s="4"/>
    </row>
    <row r="345" spans="1:27">
      <c r="A345" s="150" t="s">
        <v>221</v>
      </c>
      <c r="B345" s="151">
        <f>'Regional Fuel Costs'!C49</f>
        <v>5.5999999999999999E-3</v>
      </c>
      <c r="C345" s="152" t="s">
        <v>193</v>
      </c>
      <c r="D345" s="255"/>
      <c r="E345" s="149"/>
      <c r="F345" s="149"/>
      <c r="G345" s="149"/>
      <c r="H345" s="149"/>
      <c r="I345" s="149"/>
      <c r="J345" s="149"/>
      <c r="K345" s="149"/>
      <c r="L345" s="149"/>
      <c r="M345" s="149"/>
      <c r="N345" s="149"/>
      <c r="O345" s="149"/>
      <c r="P345" s="149"/>
      <c r="Q345" s="149"/>
      <c r="R345" s="149"/>
      <c r="S345" s="149"/>
      <c r="T345" s="149"/>
      <c r="U345" s="149"/>
      <c r="V345" s="149"/>
      <c r="W345" s="4"/>
      <c r="X345" s="4"/>
      <c r="Y345" s="4"/>
      <c r="Z345" s="4"/>
      <c r="AA345" s="4"/>
    </row>
    <row r="346" spans="1:27" ht="16">
      <c r="A346" s="150" t="s">
        <v>412</v>
      </c>
      <c r="B346" s="658">
        <f>Inputs!$D$11</f>
        <v>12</v>
      </c>
      <c r="C346" s="154" t="s">
        <v>290</v>
      </c>
      <c r="D346" s="255"/>
      <c r="E346" s="149"/>
      <c r="F346" s="149"/>
      <c r="G346" s="149"/>
      <c r="H346" s="149"/>
      <c r="I346" s="149"/>
      <c r="J346" s="149"/>
      <c r="K346" s="149"/>
      <c r="L346" s="149"/>
      <c r="M346" s="149"/>
      <c r="N346" s="149"/>
      <c r="O346" s="149"/>
      <c r="P346" s="149"/>
      <c r="Q346" s="149"/>
      <c r="R346" s="149"/>
      <c r="S346" s="149"/>
      <c r="T346" s="149"/>
      <c r="U346" s="149"/>
      <c r="V346" s="149"/>
      <c r="W346" s="4"/>
      <c r="X346" s="4"/>
      <c r="Y346" s="4"/>
      <c r="Z346" s="4"/>
      <c r="AA346" s="4"/>
    </row>
    <row r="347" spans="1:27">
      <c r="A347" s="150" t="s">
        <v>188</v>
      </c>
      <c r="B347" s="658">
        <f>Inputs!K31</f>
        <v>3.5</v>
      </c>
      <c r="C347" s="155" t="s">
        <v>196</v>
      </c>
      <c r="D347" s="255"/>
      <c r="E347" s="149"/>
      <c r="F347" s="149"/>
      <c r="G347" s="149"/>
      <c r="H347" s="149"/>
      <c r="I347" s="149"/>
      <c r="J347" s="149"/>
      <c r="K347" s="149"/>
      <c r="L347" s="149"/>
      <c r="M347" s="149"/>
      <c r="N347" s="149"/>
      <c r="O347" s="149"/>
      <c r="P347" s="149"/>
      <c r="Q347" s="149"/>
      <c r="R347" s="149"/>
      <c r="S347" s="149"/>
      <c r="T347" s="149"/>
      <c r="U347" s="149"/>
      <c r="V347" s="149"/>
      <c r="W347" s="4"/>
      <c r="X347" s="4"/>
      <c r="Y347" s="4"/>
      <c r="Z347" s="4"/>
      <c r="AA347" s="4"/>
    </row>
    <row r="348" spans="1:27">
      <c r="A348" s="150" t="s">
        <v>187</v>
      </c>
      <c r="B348" s="156">
        <f>'System Efficiencies'!C4</f>
        <v>0.95</v>
      </c>
      <c r="C348" s="155" t="s">
        <v>196</v>
      </c>
      <c r="D348" s="255"/>
      <c r="E348" s="149"/>
      <c r="F348" s="149"/>
      <c r="G348" s="149"/>
      <c r="H348" s="149"/>
      <c r="I348" s="149"/>
      <c r="J348" s="149"/>
      <c r="K348" s="149"/>
      <c r="L348" s="149"/>
      <c r="M348" s="149"/>
      <c r="N348" s="149"/>
      <c r="O348" s="149"/>
      <c r="P348" s="149"/>
      <c r="Q348" s="149"/>
      <c r="R348" s="149"/>
      <c r="S348" s="149"/>
      <c r="T348" s="149"/>
      <c r="U348" s="149"/>
      <c r="V348" s="149"/>
      <c r="W348" s="4"/>
      <c r="X348" s="4"/>
      <c r="Y348" s="4"/>
      <c r="Z348" s="4"/>
      <c r="AA348" s="4"/>
    </row>
    <row r="349" spans="1:27">
      <c r="A349" s="150" t="s">
        <v>189</v>
      </c>
      <c r="B349" s="659">
        <f>B347*B348</f>
        <v>3.3249999999999997</v>
      </c>
      <c r="C349" s="155" t="s">
        <v>196</v>
      </c>
      <c r="D349" s="255"/>
      <c r="E349" s="149"/>
      <c r="F349" s="149"/>
      <c r="G349" s="149"/>
      <c r="H349" s="149"/>
      <c r="I349" s="149"/>
      <c r="J349" s="149"/>
      <c r="K349" s="149"/>
      <c r="L349" s="149"/>
      <c r="M349" s="149"/>
      <c r="N349" s="149"/>
      <c r="O349" s="149"/>
      <c r="P349" s="149"/>
      <c r="Q349" s="149"/>
      <c r="R349" s="149"/>
      <c r="S349" s="149"/>
      <c r="T349" s="149"/>
      <c r="U349" s="149"/>
      <c r="V349" s="149"/>
      <c r="W349" s="4"/>
      <c r="X349" s="4"/>
      <c r="Y349" s="4"/>
      <c r="Z349" s="4"/>
      <c r="AA349" s="4"/>
    </row>
    <row r="350" spans="1:27" ht="16">
      <c r="A350" s="256" t="s">
        <v>413</v>
      </c>
      <c r="B350" s="658">
        <f>IF(Inputs!C8="No",0,Inputs!$D$13)</f>
        <v>0</v>
      </c>
      <c r="C350" s="154" t="s">
        <v>290</v>
      </c>
      <c r="D350" s="255"/>
      <c r="E350" s="149"/>
      <c r="F350" s="149"/>
      <c r="G350" s="149"/>
      <c r="H350" s="149"/>
      <c r="I350" s="149"/>
      <c r="J350" s="149"/>
      <c r="K350" s="149"/>
      <c r="L350" s="149"/>
      <c r="M350" s="149"/>
      <c r="N350" s="149"/>
      <c r="O350" s="149"/>
      <c r="P350" s="149"/>
      <c r="Q350" s="149"/>
      <c r="R350" s="149"/>
      <c r="S350" s="149"/>
      <c r="T350" s="149"/>
      <c r="U350" s="149"/>
      <c r="V350" s="149"/>
      <c r="W350" s="4"/>
      <c r="X350" s="4"/>
      <c r="Y350" s="4"/>
      <c r="Z350" s="4"/>
      <c r="AA350" s="4"/>
    </row>
    <row r="351" spans="1:27">
      <c r="A351" s="256" t="s">
        <v>190</v>
      </c>
      <c r="B351" s="658" t="str">
        <f>Inputs!M31</f>
        <v>N/A</v>
      </c>
      <c r="C351" s="155" t="s">
        <v>196</v>
      </c>
      <c r="D351" s="255"/>
      <c r="E351" s="149"/>
      <c r="F351" s="149"/>
      <c r="G351" s="149"/>
      <c r="H351" s="149"/>
      <c r="I351" s="149"/>
      <c r="J351" s="149"/>
      <c r="K351" s="149"/>
      <c r="L351" s="149"/>
      <c r="M351" s="149"/>
      <c r="N351" s="149"/>
      <c r="O351" s="149"/>
      <c r="P351" s="149"/>
      <c r="Q351" s="149"/>
      <c r="R351" s="149"/>
      <c r="S351" s="149"/>
      <c r="T351" s="149"/>
      <c r="U351" s="149"/>
      <c r="V351" s="149"/>
      <c r="W351" s="4"/>
      <c r="X351" s="4"/>
      <c r="Y351" s="4"/>
      <c r="Z351" s="4"/>
      <c r="AA351" s="4"/>
    </row>
    <row r="352" spans="1:27">
      <c r="A352" s="256" t="s">
        <v>191</v>
      </c>
      <c r="B352" s="156">
        <f>'System Efficiencies'!C5</f>
        <v>0.95</v>
      </c>
      <c r="C352" s="155" t="s">
        <v>196</v>
      </c>
      <c r="D352" s="255"/>
      <c r="E352" s="149"/>
      <c r="F352" s="149"/>
      <c r="G352" s="149"/>
      <c r="H352" s="149"/>
      <c r="I352" s="149"/>
      <c r="J352" s="149"/>
      <c r="K352" s="149"/>
      <c r="L352" s="149"/>
      <c r="M352" s="149"/>
      <c r="N352" s="149"/>
      <c r="O352" s="149"/>
      <c r="P352" s="149"/>
      <c r="Q352" s="149"/>
      <c r="R352" s="149"/>
      <c r="S352" s="149"/>
      <c r="T352" s="149"/>
      <c r="U352" s="149"/>
      <c r="V352" s="149"/>
      <c r="W352" s="4"/>
      <c r="X352" s="4"/>
      <c r="Y352" s="4"/>
      <c r="Z352" s="4"/>
      <c r="AA352" s="4"/>
    </row>
    <row r="353" spans="1:27">
      <c r="A353" s="256" t="s">
        <v>192</v>
      </c>
      <c r="B353" s="659" t="e">
        <f>B351*B352</f>
        <v>#VALUE!</v>
      </c>
      <c r="C353" s="155" t="s">
        <v>196</v>
      </c>
      <c r="D353" s="255"/>
      <c r="E353" s="149"/>
      <c r="F353" s="149"/>
      <c r="G353" s="149"/>
      <c r="H353" s="149"/>
      <c r="I353" s="149"/>
      <c r="J353" s="149"/>
      <c r="K353" s="149"/>
      <c r="L353" s="149"/>
      <c r="M353" s="149"/>
      <c r="N353" s="149"/>
      <c r="O353" s="149"/>
      <c r="P353" s="149"/>
      <c r="Q353" s="149"/>
      <c r="R353" s="149"/>
      <c r="S353" s="149"/>
      <c r="T353" s="149"/>
      <c r="U353" s="149"/>
      <c r="V353" s="149"/>
      <c r="W353" s="4"/>
      <c r="X353" s="4"/>
      <c r="Y353" s="4"/>
      <c r="Z353" s="4"/>
      <c r="AA353" s="4"/>
    </row>
    <row r="354" spans="1:27" ht="16">
      <c r="A354" s="150" t="s">
        <v>82</v>
      </c>
      <c r="B354" s="658" t="str">
        <f>Inputs!I31</f>
        <v>N/A</v>
      </c>
      <c r="C354" s="157" t="s">
        <v>195</v>
      </c>
      <c r="D354" s="255"/>
      <c r="E354" s="149"/>
      <c r="F354" s="149"/>
      <c r="G354" s="149"/>
      <c r="H354" s="149"/>
      <c r="I354" s="149"/>
      <c r="J354" s="149"/>
      <c r="K354" s="149"/>
      <c r="L354" s="149"/>
      <c r="M354" s="149"/>
      <c r="N354" s="149"/>
      <c r="O354" s="149"/>
      <c r="P354" s="149"/>
      <c r="Q354" s="149"/>
      <c r="R354" s="257"/>
      <c r="S354" s="257"/>
      <c r="T354" s="257"/>
      <c r="U354" s="257"/>
      <c r="V354" s="258"/>
      <c r="W354" s="258"/>
      <c r="X354" s="258"/>
      <c r="Y354" s="258"/>
      <c r="Z354" s="258"/>
      <c r="AA354" s="258"/>
    </row>
    <row r="355" spans="1:27">
      <c r="A355" s="150" t="s">
        <v>81</v>
      </c>
      <c r="B355" s="153">
        <f>'Capital Cost Structure'!E60</f>
        <v>25</v>
      </c>
      <c r="C355" s="157" t="s">
        <v>195</v>
      </c>
      <c r="D355" s="255"/>
      <c r="E355" s="303" t="s">
        <v>286</v>
      </c>
      <c r="F355" s="149"/>
      <c r="G355" s="149"/>
      <c r="H355" s="149"/>
      <c r="I355" s="149"/>
      <c r="J355" s="149"/>
      <c r="K355" s="149"/>
      <c r="L355" s="149"/>
      <c r="M355" s="149"/>
      <c r="N355" s="149"/>
      <c r="O355" s="149"/>
      <c r="P355" s="149"/>
      <c r="Q355" s="149"/>
      <c r="R355" s="149"/>
      <c r="S355" s="149"/>
      <c r="T355" s="149"/>
      <c r="U355" s="149"/>
      <c r="V355" s="149"/>
      <c r="W355" s="4"/>
      <c r="X355" s="4"/>
      <c r="Y355" s="4"/>
      <c r="Z355" s="4"/>
      <c r="AA355" s="4"/>
    </row>
    <row r="356" spans="1:27">
      <c r="A356" s="150" t="s">
        <v>32</v>
      </c>
      <c r="B356" s="156">
        <f>$B$5</f>
        <v>0.05</v>
      </c>
      <c r="C356" s="248" t="s">
        <v>194</v>
      </c>
      <c r="D356" s="255"/>
      <c r="E356" s="149"/>
      <c r="F356" s="149"/>
      <c r="G356" s="149"/>
      <c r="H356" s="149"/>
      <c r="I356" s="149"/>
      <c r="J356" s="149"/>
      <c r="K356" s="149"/>
      <c r="L356" s="149"/>
      <c r="M356" s="149"/>
      <c r="N356" s="149"/>
      <c r="O356" s="149"/>
      <c r="P356" s="149"/>
      <c r="Q356" s="149"/>
      <c r="R356" s="149"/>
      <c r="S356" s="149"/>
      <c r="T356" s="149"/>
      <c r="U356" s="149"/>
      <c r="V356" s="149"/>
      <c r="W356" s="4"/>
      <c r="X356" s="4"/>
      <c r="Y356" s="4"/>
      <c r="Z356" s="4"/>
      <c r="AA356" s="4"/>
    </row>
    <row r="357" spans="1:27" ht="16" thickBot="1">
      <c r="A357" s="159" t="s">
        <v>405</v>
      </c>
      <c r="B357" s="547">
        <f>Inputs!F31</f>
        <v>0</v>
      </c>
      <c r="C357" s="249" t="s">
        <v>194</v>
      </c>
      <c r="D357" s="160"/>
      <c r="E357" s="161"/>
      <c r="F357" s="161"/>
      <c r="G357" s="161"/>
      <c r="H357" s="161"/>
      <c r="I357" s="161"/>
      <c r="J357" s="161"/>
      <c r="K357" s="161"/>
      <c r="L357" s="161"/>
      <c r="M357" s="161"/>
      <c r="N357" s="161"/>
      <c r="O357" s="161"/>
      <c r="P357" s="161"/>
      <c r="Q357" s="161"/>
      <c r="R357" s="161"/>
      <c r="S357" s="161"/>
      <c r="T357" s="161"/>
      <c r="U357" s="161"/>
      <c r="V357" s="161"/>
      <c r="W357" s="4"/>
      <c r="X357" s="4"/>
      <c r="Y357" s="4"/>
      <c r="Z357" s="4"/>
      <c r="AA357" s="4"/>
    </row>
    <row r="358" spans="1:27" ht="17" thickTop="1" thickBot="1">
      <c r="A358" s="6" t="s">
        <v>0</v>
      </c>
      <c r="B358" s="139" t="s">
        <v>51</v>
      </c>
      <c r="C358" s="117" t="s">
        <v>1</v>
      </c>
      <c r="D358" s="117" t="s">
        <v>2</v>
      </c>
      <c r="E358" s="117" t="s">
        <v>3</v>
      </c>
      <c r="F358" s="117" t="s">
        <v>4</v>
      </c>
      <c r="G358" s="117" t="s">
        <v>5</v>
      </c>
      <c r="H358" s="117" t="s">
        <v>6</v>
      </c>
      <c r="I358" s="117" t="s">
        <v>7</v>
      </c>
      <c r="J358" s="117" t="s">
        <v>8</v>
      </c>
      <c r="K358" s="117" t="s">
        <v>9</v>
      </c>
      <c r="L358" s="117" t="s">
        <v>10</v>
      </c>
      <c r="M358" s="117" t="s">
        <v>11</v>
      </c>
      <c r="N358" s="117" t="s">
        <v>12</v>
      </c>
      <c r="O358" s="117" t="s">
        <v>13</v>
      </c>
      <c r="P358" s="117" t="s">
        <v>14</v>
      </c>
      <c r="Q358" s="162" t="s">
        <v>15</v>
      </c>
      <c r="R358" s="139" t="s">
        <v>16</v>
      </c>
      <c r="S358" s="117" t="s">
        <v>17</v>
      </c>
      <c r="T358" s="117" t="s">
        <v>18</v>
      </c>
      <c r="U358" s="117" t="s">
        <v>19</v>
      </c>
      <c r="V358" s="163" t="s">
        <v>20</v>
      </c>
      <c r="W358" s="164" t="s">
        <v>93</v>
      </c>
      <c r="X358" s="165" t="s">
        <v>94</v>
      </c>
      <c r="Y358" s="165" t="s">
        <v>95</v>
      </c>
      <c r="Z358" s="165" t="s">
        <v>96</v>
      </c>
      <c r="AA358" s="166" t="s">
        <v>97</v>
      </c>
    </row>
    <row r="359" spans="1:27" ht="16">
      <c r="A359" s="167" t="s">
        <v>314</v>
      </c>
      <c r="B359" s="168" t="e">
        <f>B354*(1-Inputs!G31)</f>
        <v>#VALUE!</v>
      </c>
      <c r="C359" s="169"/>
      <c r="D359" s="169"/>
      <c r="E359" s="169"/>
      <c r="F359" s="169"/>
      <c r="G359" s="169"/>
      <c r="H359" s="169"/>
      <c r="I359" s="169"/>
      <c r="J359" s="169"/>
      <c r="K359" s="169"/>
      <c r="L359" s="169"/>
      <c r="M359" s="169"/>
      <c r="N359" s="169"/>
      <c r="O359" s="169"/>
      <c r="P359" s="169"/>
      <c r="Q359" s="170"/>
      <c r="R359" s="171"/>
      <c r="S359" s="169"/>
      <c r="T359" s="169"/>
      <c r="U359" s="169"/>
      <c r="V359" s="172"/>
      <c r="W359" s="169"/>
      <c r="X359" s="169"/>
      <c r="Y359" s="169"/>
      <c r="Z359" s="169"/>
      <c r="AA359" s="173"/>
    </row>
    <row r="360" spans="1:27">
      <c r="A360" s="6" t="s">
        <v>270</v>
      </c>
      <c r="B360" s="139"/>
      <c r="C360" s="7"/>
      <c r="D360" s="7"/>
      <c r="E360" s="7"/>
      <c r="F360" s="7"/>
      <c r="G360" s="117" t="s">
        <v>172</v>
      </c>
      <c r="H360" s="7"/>
      <c r="I360" s="7"/>
      <c r="J360" s="7"/>
      <c r="K360" s="7"/>
      <c r="L360" s="117" t="s">
        <v>266</v>
      </c>
      <c r="M360" s="7"/>
      <c r="N360" s="7"/>
      <c r="O360" s="7"/>
      <c r="P360" s="7"/>
      <c r="Q360" s="162" t="s">
        <v>364</v>
      </c>
      <c r="R360" s="174"/>
      <c r="S360" s="7"/>
      <c r="T360" s="7"/>
      <c r="U360" s="7"/>
      <c r="V360" s="163" t="s">
        <v>266</v>
      </c>
      <c r="W360" s="7"/>
      <c r="X360" s="7"/>
      <c r="Y360" s="7"/>
      <c r="Z360" s="7"/>
      <c r="AA360" s="175"/>
    </row>
    <row r="361" spans="1:27" ht="16">
      <c r="A361" s="266" t="s">
        <v>269</v>
      </c>
      <c r="B361" s="139">
        <v>0</v>
      </c>
      <c r="C361" s="7"/>
      <c r="D361" s="7"/>
      <c r="E361" s="7"/>
      <c r="F361" s="7"/>
      <c r="G361" s="651" t="e">
        <f>('Capital Cost Structure'!F65*B354)</f>
        <v>#VALUE!</v>
      </c>
      <c r="H361" s="7"/>
      <c r="I361" s="7"/>
      <c r="J361" s="7"/>
      <c r="K361" s="7"/>
      <c r="L361" s="651" t="e">
        <f>('Capital Cost Structure'!F65*B354)+('Capital Cost Structure'!F64*B354)</f>
        <v>#VALUE!</v>
      </c>
      <c r="M361" s="7"/>
      <c r="N361" s="7"/>
      <c r="O361" s="7"/>
      <c r="P361" s="7"/>
      <c r="Q361" s="653" t="e">
        <f>('Capital Cost Structure'!F65*B354)+('Capital Cost Structure'!F66*B354)+('Capital Cost Structure'!F61*B354)</f>
        <v>#VALUE!</v>
      </c>
      <c r="R361" s="174"/>
      <c r="S361" s="7"/>
      <c r="T361" s="7"/>
      <c r="U361" s="7"/>
      <c r="V361" s="653" t="e">
        <f>('Capital Cost Structure'!F65*B354)+('Capital Cost Structure'!F64*B354)</f>
        <v>#VALUE!</v>
      </c>
      <c r="W361" s="7"/>
      <c r="X361" s="7"/>
      <c r="Y361" s="7"/>
      <c r="Z361" s="7"/>
      <c r="AA361" s="175"/>
    </row>
    <row r="362" spans="1:27">
      <c r="A362" s="209" t="s">
        <v>50</v>
      </c>
      <c r="B362" s="139" t="e">
        <f>B359</f>
        <v>#VALUE!</v>
      </c>
      <c r="C362" s="177" t="e">
        <f>B362+C361-($B$359/$B$355)</f>
        <v>#VALUE!</v>
      </c>
      <c r="D362" s="177" t="e">
        <f>C362+D361-($B$359/$B$355)</f>
        <v>#VALUE!</v>
      </c>
      <c r="E362" s="177" t="e">
        <f t="shared" ref="E362:AA362" si="109">D362+E361-($B$359/$B$355)</f>
        <v>#VALUE!</v>
      </c>
      <c r="F362" s="177" t="e">
        <f t="shared" si="109"/>
        <v>#VALUE!</v>
      </c>
      <c r="G362" s="177" t="e">
        <f t="shared" si="109"/>
        <v>#VALUE!</v>
      </c>
      <c r="H362" s="177" t="e">
        <f t="shared" si="109"/>
        <v>#VALUE!</v>
      </c>
      <c r="I362" s="177" t="e">
        <f t="shared" si="109"/>
        <v>#VALUE!</v>
      </c>
      <c r="J362" s="177" t="e">
        <f t="shared" si="109"/>
        <v>#VALUE!</v>
      </c>
      <c r="K362" s="177" t="e">
        <f t="shared" si="109"/>
        <v>#VALUE!</v>
      </c>
      <c r="L362" s="7" t="e">
        <f t="shared" si="109"/>
        <v>#VALUE!</v>
      </c>
      <c r="M362" s="7" t="e">
        <f t="shared" si="109"/>
        <v>#VALUE!</v>
      </c>
      <c r="N362" s="7" t="e">
        <f t="shared" si="109"/>
        <v>#VALUE!</v>
      </c>
      <c r="O362" s="7" t="e">
        <f t="shared" si="109"/>
        <v>#VALUE!</v>
      </c>
      <c r="P362" s="7" t="e">
        <f t="shared" si="109"/>
        <v>#VALUE!</v>
      </c>
      <c r="Q362" s="104" t="e">
        <f t="shared" si="109"/>
        <v>#VALUE!</v>
      </c>
      <c r="R362" s="174" t="e">
        <f t="shared" si="109"/>
        <v>#VALUE!</v>
      </c>
      <c r="S362" s="7" t="e">
        <f t="shared" si="109"/>
        <v>#VALUE!</v>
      </c>
      <c r="T362" s="7" t="e">
        <f t="shared" si="109"/>
        <v>#VALUE!</v>
      </c>
      <c r="U362" s="7" t="e">
        <f t="shared" si="109"/>
        <v>#VALUE!</v>
      </c>
      <c r="V362" s="293" t="e">
        <f t="shared" si="109"/>
        <v>#VALUE!</v>
      </c>
      <c r="W362" s="177" t="e">
        <f t="shared" si="109"/>
        <v>#VALUE!</v>
      </c>
      <c r="X362" s="177" t="e">
        <f t="shared" si="109"/>
        <v>#VALUE!</v>
      </c>
      <c r="Y362" s="177" t="e">
        <f t="shared" si="109"/>
        <v>#VALUE!</v>
      </c>
      <c r="Z362" s="177" t="e">
        <f t="shared" si="109"/>
        <v>#VALUE!</v>
      </c>
      <c r="AA362" s="178" t="e">
        <f t="shared" si="109"/>
        <v>#VALUE!</v>
      </c>
    </row>
    <row r="363" spans="1:27" ht="16">
      <c r="A363" s="180" t="s">
        <v>22</v>
      </c>
      <c r="B363" s="183" t="e">
        <f>B359+B361+(B357/$B$4)</f>
        <v>#VALUE!</v>
      </c>
      <c r="C363" s="181">
        <f t="shared" ref="C363:AA363" si="110">C359+C361</f>
        <v>0</v>
      </c>
      <c r="D363" s="181">
        <f t="shared" si="110"/>
        <v>0</v>
      </c>
      <c r="E363" s="181">
        <f t="shared" si="110"/>
        <v>0</v>
      </c>
      <c r="F363" s="181">
        <f t="shared" si="110"/>
        <v>0</v>
      </c>
      <c r="G363" s="181" t="e">
        <f>G359+G361</f>
        <v>#VALUE!</v>
      </c>
      <c r="H363" s="181">
        <f t="shared" si="110"/>
        <v>0</v>
      </c>
      <c r="I363" s="181">
        <f t="shared" si="110"/>
        <v>0</v>
      </c>
      <c r="J363" s="181">
        <f t="shared" si="110"/>
        <v>0</v>
      </c>
      <c r="K363" s="181">
        <f t="shared" si="110"/>
        <v>0</v>
      </c>
      <c r="L363" s="181" t="e">
        <f>L359+L361</f>
        <v>#VALUE!</v>
      </c>
      <c r="M363" s="181">
        <f t="shared" si="110"/>
        <v>0</v>
      </c>
      <c r="N363" s="181">
        <f t="shared" si="110"/>
        <v>0</v>
      </c>
      <c r="O363" s="181">
        <f t="shared" si="110"/>
        <v>0</v>
      </c>
      <c r="P363" s="181">
        <f t="shared" si="110"/>
        <v>0</v>
      </c>
      <c r="Q363" s="182" t="e">
        <f>Q359+Q361</f>
        <v>#VALUE!</v>
      </c>
      <c r="R363" s="183">
        <f t="shared" si="110"/>
        <v>0</v>
      </c>
      <c r="S363" s="181">
        <f t="shared" si="110"/>
        <v>0</v>
      </c>
      <c r="T363" s="181">
        <f t="shared" si="110"/>
        <v>0</v>
      </c>
      <c r="U363" s="181">
        <f t="shared" si="110"/>
        <v>0</v>
      </c>
      <c r="V363" s="182" t="e">
        <f>V359+V361</f>
        <v>#VALUE!</v>
      </c>
      <c r="W363" s="181">
        <f t="shared" si="110"/>
        <v>0</v>
      </c>
      <c r="X363" s="181">
        <f t="shared" si="110"/>
        <v>0</v>
      </c>
      <c r="Y363" s="181">
        <f t="shared" si="110"/>
        <v>0</v>
      </c>
      <c r="Z363" s="181">
        <f t="shared" si="110"/>
        <v>0</v>
      </c>
      <c r="AA363" s="182">
        <f t="shared" si="110"/>
        <v>0</v>
      </c>
    </row>
    <row r="364" spans="1:27" s="18" customFormat="1" ht="16" thickBot="1">
      <c r="A364" s="184" t="s">
        <v>87</v>
      </c>
      <c r="B364" s="185" t="e">
        <f>(B363*$B$4)</f>
        <v>#VALUE!</v>
      </c>
      <c r="C364" s="186">
        <f>C363*$B$4</f>
        <v>0</v>
      </c>
      <c r="D364" s="186">
        <f>D363*$B$4</f>
        <v>0</v>
      </c>
      <c r="E364" s="186">
        <f>E363*$B$4</f>
        <v>0</v>
      </c>
      <c r="F364" s="186">
        <f>F363*$B$4</f>
        <v>0</v>
      </c>
      <c r="G364" s="186" t="e">
        <f>G363*$B$4</f>
        <v>#VALUE!</v>
      </c>
      <c r="H364" s="186">
        <f t="shared" ref="H364:V364" si="111">H363*$B$4</f>
        <v>0</v>
      </c>
      <c r="I364" s="186">
        <f t="shared" si="111"/>
        <v>0</v>
      </c>
      <c r="J364" s="186">
        <f t="shared" si="111"/>
        <v>0</v>
      </c>
      <c r="K364" s="186">
        <f t="shared" si="111"/>
        <v>0</v>
      </c>
      <c r="L364" s="186" t="e">
        <f t="shared" si="111"/>
        <v>#VALUE!</v>
      </c>
      <c r="M364" s="186">
        <f t="shared" si="111"/>
        <v>0</v>
      </c>
      <c r="N364" s="186">
        <f t="shared" si="111"/>
        <v>0</v>
      </c>
      <c r="O364" s="186">
        <f t="shared" si="111"/>
        <v>0</v>
      </c>
      <c r="P364" s="186">
        <f t="shared" si="111"/>
        <v>0</v>
      </c>
      <c r="Q364" s="187" t="e">
        <f t="shared" si="111"/>
        <v>#VALUE!</v>
      </c>
      <c r="R364" s="185">
        <f t="shared" si="111"/>
        <v>0</v>
      </c>
      <c r="S364" s="186">
        <f t="shared" si="111"/>
        <v>0</v>
      </c>
      <c r="T364" s="186">
        <f t="shared" si="111"/>
        <v>0</v>
      </c>
      <c r="U364" s="186">
        <f t="shared" si="111"/>
        <v>0</v>
      </c>
      <c r="V364" s="188" t="e">
        <f t="shared" si="111"/>
        <v>#VALUE!</v>
      </c>
      <c r="W364" s="186">
        <f>W363*$B$4</f>
        <v>0</v>
      </c>
      <c r="X364" s="186">
        <f>X363*$B$4</f>
        <v>0</v>
      </c>
      <c r="Y364" s="186">
        <f>Y363*$B$4</f>
        <v>0</v>
      </c>
      <c r="Z364" s="186">
        <f>Z363*$B$4</f>
        <v>0</v>
      </c>
      <c r="AA364" s="189">
        <f>AA363*$B$4</f>
        <v>0</v>
      </c>
    </row>
    <row r="365" spans="1:27">
      <c r="A365" s="6"/>
      <c r="B365" s="139"/>
      <c r="C365" s="7"/>
      <c r="D365" s="7"/>
      <c r="E365" s="7"/>
      <c r="F365" s="7"/>
      <c r="G365" s="7"/>
      <c r="H365" s="7"/>
      <c r="I365" s="7"/>
      <c r="J365" s="7"/>
      <c r="K365" s="7"/>
      <c r="L365" s="7"/>
      <c r="M365" s="7"/>
      <c r="N365" s="7"/>
      <c r="O365" s="7"/>
      <c r="P365" s="7"/>
      <c r="Q365" s="104"/>
      <c r="R365" s="174"/>
      <c r="S365" s="7"/>
      <c r="T365" s="7"/>
      <c r="U365" s="7"/>
      <c r="V365" s="179"/>
      <c r="W365" s="7"/>
      <c r="X365" s="7"/>
      <c r="Y365" s="7"/>
      <c r="Z365" s="7"/>
      <c r="AA365" s="175"/>
    </row>
    <row r="366" spans="1:27">
      <c r="A366" s="209" t="s">
        <v>21</v>
      </c>
      <c r="B366" s="139">
        <v>0</v>
      </c>
      <c r="C366" s="17">
        <v>0.01</v>
      </c>
      <c r="D366" s="17">
        <f>C366+(0.01/($B$355-1))</f>
        <v>1.0416666666666666E-2</v>
      </c>
      <c r="E366" s="17">
        <f>D366+(0.01/($B$355-1))</f>
        <v>1.0833333333333332E-2</v>
      </c>
      <c r="F366" s="17">
        <f t="shared" ref="F366:AA366" si="112">E366+(0.01/($B$355-1))</f>
        <v>1.1249999999999998E-2</v>
      </c>
      <c r="G366" s="17">
        <f t="shared" si="112"/>
        <v>1.1666666666666664E-2</v>
      </c>
      <c r="H366" s="17">
        <f t="shared" si="112"/>
        <v>1.208333333333333E-2</v>
      </c>
      <c r="I366" s="17">
        <f t="shared" si="112"/>
        <v>1.2499999999999995E-2</v>
      </c>
      <c r="J366" s="17">
        <f t="shared" si="112"/>
        <v>1.2916666666666661E-2</v>
      </c>
      <c r="K366" s="17">
        <f t="shared" si="112"/>
        <v>1.3333333333333327E-2</v>
      </c>
      <c r="L366" s="17">
        <f t="shared" si="112"/>
        <v>1.3749999999999993E-2</v>
      </c>
      <c r="M366" s="17">
        <f t="shared" si="112"/>
        <v>1.4166666666666659E-2</v>
      </c>
      <c r="N366" s="17">
        <f>M366+(0.01/($B$355-1))</f>
        <v>1.4583333333333325E-2</v>
      </c>
      <c r="O366" s="17">
        <f t="shared" si="112"/>
        <v>1.4999999999999991E-2</v>
      </c>
      <c r="P366" s="17">
        <f t="shared" si="112"/>
        <v>1.5416666666666657E-2</v>
      </c>
      <c r="Q366" s="190">
        <f t="shared" si="112"/>
        <v>1.5833333333333324E-2</v>
      </c>
      <c r="R366" s="191">
        <f t="shared" si="112"/>
        <v>1.624999999999999E-2</v>
      </c>
      <c r="S366" s="17">
        <f t="shared" si="112"/>
        <v>1.6666666666666656E-2</v>
      </c>
      <c r="T366" s="17">
        <f t="shared" si="112"/>
        <v>1.7083333333333322E-2</v>
      </c>
      <c r="U366" s="17">
        <f t="shared" si="112"/>
        <v>1.7499999999999988E-2</v>
      </c>
      <c r="V366" s="192">
        <f t="shared" si="112"/>
        <v>1.7916666666666654E-2</v>
      </c>
      <c r="W366" s="17">
        <f t="shared" si="112"/>
        <v>1.833333333333332E-2</v>
      </c>
      <c r="X366" s="17">
        <f t="shared" si="112"/>
        <v>1.8749999999999985E-2</v>
      </c>
      <c r="Y366" s="17">
        <f t="shared" si="112"/>
        <v>1.9166666666666651E-2</v>
      </c>
      <c r="Z366" s="17">
        <f t="shared" si="112"/>
        <v>1.9583333333333317E-2</v>
      </c>
      <c r="AA366" s="193">
        <f t="shared" si="112"/>
        <v>1.9999999999999983E-2</v>
      </c>
    </row>
    <row r="367" spans="1:27" ht="16">
      <c r="A367" s="180" t="s">
        <v>23</v>
      </c>
      <c r="B367" s="194" t="e">
        <f>B366*$B$354</f>
        <v>#VALUE!</v>
      </c>
      <c r="C367" s="194" t="e">
        <f>C366*$B$354</f>
        <v>#VALUE!</v>
      </c>
      <c r="D367" s="194" t="e">
        <f>D366*$B$354</f>
        <v>#VALUE!</v>
      </c>
      <c r="E367" s="194" t="e">
        <f>E366*$B$354</f>
        <v>#VALUE!</v>
      </c>
      <c r="F367" s="194" t="e">
        <f t="shared" ref="F367:AA367" si="113">F366*$B$354</f>
        <v>#VALUE!</v>
      </c>
      <c r="G367" s="194" t="e">
        <f t="shared" si="113"/>
        <v>#VALUE!</v>
      </c>
      <c r="H367" s="194" t="e">
        <f t="shared" si="113"/>
        <v>#VALUE!</v>
      </c>
      <c r="I367" s="194" t="e">
        <f t="shared" si="113"/>
        <v>#VALUE!</v>
      </c>
      <c r="J367" s="194" t="e">
        <f t="shared" si="113"/>
        <v>#VALUE!</v>
      </c>
      <c r="K367" s="194" t="e">
        <f t="shared" si="113"/>
        <v>#VALUE!</v>
      </c>
      <c r="L367" s="194" t="e">
        <f t="shared" si="113"/>
        <v>#VALUE!</v>
      </c>
      <c r="M367" s="194" t="e">
        <f t="shared" si="113"/>
        <v>#VALUE!</v>
      </c>
      <c r="N367" s="194" t="e">
        <f t="shared" si="113"/>
        <v>#VALUE!</v>
      </c>
      <c r="O367" s="194" t="e">
        <f t="shared" si="113"/>
        <v>#VALUE!</v>
      </c>
      <c r="P367" s="194" t="e">
        <f t="shared" si="113"/>
        <v>#VALUE!</v>
      </c>
      <c r="Q367" s="195" t="e">
        <f t="shared" si="113"/>
        <v>#VALUE!</v>
      </c>
      <c r="R367" s="196" t="e">
        <f t="shared" si="113"/>
        <v>#VALUE!</v>
      </c>
      <c r="S367" s="194" t="e">
        <f t="shared" si="113"/>
        <v>#VALUE!</v>
      </c>
      <c r="T367" s="194" t="e">
        <f t="shared" si="113"/>
        <v>#VALUE!</v>
      </c>
      <c r="U367" s="194" t="e">
        <f t="shared" si="113"/>
        <v>#VALUE!</v>
      </c>
      <c r="V367" s="195" t="e">
        <f t="shared" si="113"/>
        <v>#VALUE!</v>
      </c>
      <c r="W367" s="194" t="e">
        <f t="shared" si="113"/>
        <v>#VALUE!</v>
      </c>
      <c r="X367" s="194" t="e">
        <f t="shared" si="113"/>
        <v>#VALUE!</v>
      </c>
      <c r="Y367" s="194" t="e">
        <f t="shared" si="113"/>
        <v>#VALUE!</v>
      </c>
      <c r="Z367" s="194" t="e">
        <f t="shared" si="113"/>
        <v>#VALUE!</v>
      </c>
      <c r="AA367" s="195" t="e">
        <f t="shared" si="113"/>
        <v>#VALUE!</v>
      </c>
    </row>
    <row r="368" spans="1:27" s="24" customFormat="1" ht="16" thickBot="1">
      <c r="A368" s="184" t="s">
        <v>88</v>
      </c>
      <c r="B368" s="279" t="e">
        <f t="shared" ref="B368:K368" si="114">B367*$B$4</f>
        <v>#VALUE!</v>
      </c>
      <c r="C368" s="277" t="e">
        <f t="shared" si="114"/>
        <v>#VALUE!</v>
      </c>
      <c r="D368" s="277" t="e">
        <f t="shared" si="114"/>
        <v>#VALUE!</v>
      </c>
      <c r="E368" s="277" t="e">
        <f t="shared" si="114"/>
        <v>#VALUE!</v>
      </c>
      <c r="F368" s="277" t="e">
        <f t="shared" si="114"/>
        <v>#VALUE!</v>
      </c>
      <c r="G368" s="277" t="e">
        <f t="shared" si="114"/>
        <v>#VALUE!</v>
      </c>
      <c r="H368" s="277" t="e">
        <f t="shared" si="114"/>
        <v>#VALUE!</v>
      </c>
      <c r="I368" s="277" t="e">
        <f t="shared" si="114"/>
        <v>#VALUE!</v>
      </c>
      <c r="J368" s="277" t="e">
        <f t="shared" si="114"/>
        <v>#VALUE!</v>
      </c>
      <c r="K368" s="277" t="e">
        <f t="shared" si="114"/>
        <v>#VALUE!</v>
      </c>
      <c r="L368" s="277" t="e">
        <f t="shared" ref="L368:V368" si="115">L367*$B$4</f>
        <v>#VALUE!</v>
      </c>
      <c r="M368" s="277" t="e">
        <f t="shared" si="115"/>
        <v>#VALUE!</v>
      </c>
      <c r="N368" s="277" t="e">
        <f t="shared" si="115"/>
        <v>#VALUE!</v>
      </c>
      <c r="O368" s="277" t="e">
        <f t="shared" si="115"/>
        <v>#VALUE!</v>
      </c>
      <c r="P368" s="277" t="e">
        <f t="shared" si="115"/>
        <v>#VALUE!</v>
      </c>
      <c r="Q368" s="278" t="e">
        <f t="shared" si="115"/>
        <v>#VALUE!</v>
      </c>
      <c r="R368" s="279" t="e">
        <f t="shared" si="115"/>
        <v>#VALUE!</v>
      </c>
      <c r="S368" s="277" t="e">
        <f t="shared" si="115"/>
        <v>#VALUE!</v>
      </c>
      <c r="T368" s="277" t="e">
        <f t="shared" si="115"/>
        <v>#VALUE!</v>
      </c>
      <c r="U368" s="277" t="e">
        <f t="shared" si="115"/>
        <v>#VALUE!</v>
      </c>
      <c r="V368" s="280" t="e">
        <f t="shared" si="115"/>
        <v>#VALUE!</v>
      </c>
      <c r="W368" s="277" t="e">
        <f>W367*$B$4</f>
        <v>#VALUE!</v>
      </c>
      <c r="X368" s="277" t="e">
        <f>X367*$B$4</f>
        <v>#VALUE!</v>
      </c>
      <c r="Y368" s="277" t="e">
        <f>Y367*$B$4</f>
        <v>#VALUE!</v>
      </c>
      <c r="Z368" s="277" t="e">
        <f>Z367*$B$4</f>
        <v>#VALUE!</v>
      </c>
      <c r="AA368" s="281" t="e">
        <f>AA367*$B$4</f>
        <v>#VALUE!</v>
      </c>
    </row>
    <row r="369" spans="1:27">
      <c r="A369" s="199"/>
      <c r="B369" s="174"/>
      <c r="C369" s="7"/>
      <c r="D369" s="7"/>
      <c r="E369" s="7"/>
      <c r="F369" s="7"/>
      <c r="G369" s="7"/>
      <c r="H369" s="7"/>
      <c r="I369" s="7"/>
      <c r="J369" s="7"/>
      <c r="K369" s="7"/>
      <c r="L369" s="7"/>
      <c r="M369" s="7"/>
      <c r="N369" s="7"/>
      <c r="O369" s="7"/>
      <c r="P369" s="7"/>
      <c r="Q369" s="104"/>
      <c r="R369" s="174"/>
      <c r="S369" s="7"/>
      <c r="T369" s="7"/>
      <c r="U369" s="7"/>
      <c r="V369" s="179"/>
      <c r="W369" s="7"/>
      <c r="X369" s="7"/>
      <c r="Y369" s="7"/>
      <c r="Z369" s="7"/>
      <c r="AA369" s="175"/>
    </row>
    <row r="370" spans="1:27">
      <c r="A370" s="6" t="s">
        <v>25</v>
      </c>
      <c r="B370" s="139">
        <v>0</v>
      </c>
      <c r="C370" s="259" t="str">
        <f>B344</f>
        <v/>
      </c>
      <c r="D370" s="259" t="e">
        <f t="shared" ref="D370:AA370" si="116">C370+C371</f>
        <v>#VALUE!</v>
      </c>
      <c r="E370" s="259" t="e">
        <f t="shared" si="116"/>
        <v>#VALUE!</v>
      </c>
      <c r="F370" s="259" t="e">
        <f t="shared" si="116"/>
        <v>#VALUE!</v>
      </c>
      <c r="G370" s="259" t="e">
        <f t="shared" si="116"/>
        <v>#VALUE!</v>
      </c>
      <c r="H370" s="259" t="e">
        <f t="shared" si="116"/>
        <v>#VALUE!</v>
      </c>
      <c r="I370" s="259" t="e">
        <f t="shared" si="116"/>
        <v>#VALUE!</v>
      </c>
      <c r="J370" s="259" t="e">
        <f t="shared" si="116"/>
        <v>#VALUE!</v>
      </c>
      <c r="K370" s="259" t="e">
        <f t="shared" si="116"/>
        <v>#VALUE!</v>
      </c>
      <c r="L370" s="259" t="e">
        <f t="shared" si="116"/>
        <v>#VALUE!</v>
      </c>
      <c r="M370" s="259" t="e">
        <f t="shared" si="116"/>
        <v>#VALUE!</v>
      </c>
      <c r="N370" s="259" t="e">
        <f>M370+M371</f>
        <v>#VALUE!</v>
      </c>
      <c r="O370" s="259" t="e">
        <f t="shared" si="116"/>
        <v>#VALUE!</v>
      </c>
      <c r="P370" s="259" t="e">
        <f t="shared" si="116"/>
        <v>#VALUE!</v>
      </c>
      <c r="Q370" s="105" t="e">
        <f t="shared" si="116"/>
        <v>#VALUE!</v>
      </c>
      <c r="R370" s="260" t="e">
        <f t="shared" si="116"/>
        <v>#VALUE!</v>
      </c>
      <c r="S370" s="259" t="e">
        <f t="shared" si="116"/>
        <v>#VALUE!</v>
      </c>
      <c r="T370" s="259" t="e">
        <f t="shared" si="116"/>
        <v>#VALUE!</v>
      </c>
      <c r="U370" s="259" t="e">
        <f t="shared" si="116"/>
        <v>#VALUE!</v>
      </c>
      <c r="V370" s="261" t="e">
        <f t="shared" si="116"/>
        <v>#VALUE!</v>
      </c>
      <c r="W370" s="259" t="e">
        <f t="shared" si="116"/>
        <v>#VALUE!</v>
      </c>
      <c r="X370" s="259" t="e">
        <f t="shared" si="116"/>
        <v>#VALUE!</v>
      </c>
      <c r="Y370" s="259" t="e">
        <f t="shared" si="116"/>
        <v>#VALUE!</v>
      </c>
      <c r="Z370" s="259" t="e">
        <f t="shared" si="116"/>
        <v>#VALUE!</v>
      </c>
      <c r="AA370" s="262" t="e">
        <f t="shared" si="116"/>
        <v>#VALUE!</v>
      </c>
    </row>
    <row r="371" spans="1:27">
      <c r="A371" s="6" t="s">
        <v>248</v>
      </c>
      <c r="B371" s="139"/>
      <c r="C371" s="259" t="e">
        <f>C370*$B$345</f>
        <v>#VALUE!</v>
      </c>
      <c r="D371" s="259" t="e">
        <f>D370*$B$345</f>
        <v>#VALUE!</v>
      </c>
      <c r="E371" s="259" t="e">
        <f t="shared" ref="E371:AA371" si="117">E370*$B$345</f>
        <v>#VALUE!</v>
      </c>
      <c r="F371" s="259" t="e">
        <f>F370*$B$345</f>
        <v>#VALUE!</v>
      </c>
      <c r="G371" s="259" t="e">
        <f>G370*$B$345</f>
        <v>#VALUE!</v>
      </c>
      <c r="H371" s="259" t="e">
        <f t="shared" si="117"/>
        <v>#VALUE!</v>
      </c>
      <c r="I371" s="259" t="e">
        <f t="shared" si="117"/>
        <v>#VALUE!</v>
      </c>
      <c r="J371" s="259" t="e">
        <f t="shared" si="117"/>
        <v>#VALUE!</v>
      </c>
      <c r="K371" s="259" t="e">
        <f t="shared" si="117"/>
        <v>#VALUE!</v>
      </c>
      <c r="L371" s="259" t="e">
        <f t="shared" si="117"/>
        <v>#VALUE!</v>
      </c>
      <c r="M371" s="259" t="e">
        <f t="shared" si="117"/>
        <v>#VALUE!</v>
      </c>
      <c r="N371" s="259" t="e">
        <f t="shared" si="117"/>
        <v>#VALUE!</v>
      </c>
      <c r="O371" s="259" t="e">
        <f t="shared" si="117"/>
        <v>#VALUE!</v>
      </c>
      <c r="P371" s="259" t="e">
        <f t="shared" si="117"/>
        <v>#VALUE!</v>
      </c>
      <c r="Q371" s="105" t="e">
        <f t="shared" si="117"/>
        <v>#VALUE!</v>
      </c>
      <c r="R371" s="260" t="e">
        <f t="shared" si="117"/>
        <v>#VALUE!</v>
      </c>
      <c r="S371" s="259" t="e">
        <f t="shared" si="117"/>
        <v>#VALUE!</v>
      </c>
      <c r="T371" s="259" t="e">
        <f t="shared" si="117"/>
        <v>#VALUE!</v>
      </c>
      <c r="U371" s="259" t="e">
        <f t="shared" si="117"/>
        <v>#VALUE!</v>
      </c>
      <c r="V371" s="261" t="e">
        <f t="shared" si="117"/>
        <v>#VALUE!</v>
      </c>
      <c r="W371" s="259" t="e">
        <f t="shared" si="117"/>
        <v>#VALUE!</v>
      </c>
      <c r="X371" s="259" t="e">
        <f t="shared" si="117"/>
        <v>#VALUE!</v>
      </c>
      <c r="Y371" s="259" t="e">
        <f t="shared" si="117"/>
        <v>#VALUE!</v>
      </c>
      <c r="Z371" s="259" t="e">
        <f t="shared" si="117"/>
        <v>#VALUE!</v>
      </c>
      <c r="AA371" s="262" t="e">
        <f t="shared" si="117"/>
        <v>#VALUE!</v>
      </c>
    </row>
    <row r="372" spans="1:27" ht="16">
      <c r="A372" s="180" t="s">
        <v>24</v>
      </c>
      <c r="B372" s="194">
        <f>B370*(($B$346*(1/$B$349))+IF(ISERROR($B$353),0,($B$350*(1/$B$353))))</f>
        <v>0</v>
      </c>
      <c r="C372" s="194" t="e">
        <f>C370*(($B$346*(1/$B$349))+IF(ISERROR($B$353),0,($B$350*(1/$B$353))))</f>
        <v>#VALUE!</v>
      </c>
      <c r="D372" s="194" t="e">
        <f t="shared" ref="D372:AA372" si="118">D370*(($B$346*(1/$B$349))+IF(ISERROR($B$353),0,($B$350*(1/$B$353))))</f>
        <v>#VALUE!</v>
      </c>
      <c r="E372" s="194" t="e">
        <f t="shared" si="118"/>
        <v>#VALUE!</v>
      </c>
      <c r="F372" s="194" t="e">
        <f t="shared" si="118"/>
        <v>#VALUE!</v>
      </c>
      <c r="G372" s="194" t="e">
        <f t="shared" si="118"/>
        <v>#VALUE!</v>
      </c>
      <c r="H372" s="194" t="e">
        <f t="shared" si="118"/>
        <v>#VALUE!</v>
      </c>
      <c r="I372" s="194" t="e">
        <f t="shared" si="118"/>
        <v>#VALUE!</v>
      </c>
      <c r="J372" s="194" t="e">
        <f t="shared" si="118"/>
        <v>#VALUE!</v>
      </c>
      <c r="K372" s="194" t="e">
        <f t="shared" si="118"/>
        <v>#VALUE!</v>
      </c>
      <c r="L372" s="194" t="e">
        <f t="shared" si="118"/>
        <v>#VALUE!</v>
      </c>
      <c r="M372" s="194" t="e">
        <f t="shared" si="118"/>
        <v>#VALUE!</v>
      </c>
      <c r="N372" s="194" t="e">
        <f t="shared" si="118"/>
        <v>#VALUE!</v>
      </c>
      <c r="O372" s="194" t="e">
        <f t="shared" si="118"/>
        <v>#VALUE!</v>
      </c>
      <c r="P372" s="194" t="e">
        <f t="shared" si="118"/>
        <v>#VALUE!</v>
      </c>
      <c r="Q372" s="195" t="e">
        <f t="shared" si="118"/>
        <v>#VALUE!</v>
      </c>
      <c r="R372" s="196" t="e">
        <f t="shared" si="118"/>
        <v>#VALUE!</v>
      </c>
      <c r="S372" s="194" t="e">
        <f t="shared" si="118"/>
        <v>#VALUE!</v>
      </c>
      <c r="T372" s="194" t="e">
        <f t="shared" si="118"/>
        <v>#VALUE!</v>
      </c>
      <c r="U372" s="194" t="e">
        <f t="shared" si="118"/>
        <v>#VALUE!</v>
      </c>
      <c r="V372" s="195" t="e">
        <f t="shared" si="118"/>
        <v>#VALUE!</v>
      </c>
      <c r="W372" s="194" t="e">
        <f t="shared" si="118"/>
        <v>#VALUE!</v>
      </c>
      <c r="X372" s="194" t="e">
        <f t="shared" si="118"/>
        <v>#VALUE!</v>
      </c>
      <c r="Y372" s="194" t="e">
        <f t="shared" si="118"/>
        <v>#VALUE!</v>
      </c>
      <c r="Z372" s="194" t="e">
        <f t="shared" si="118"/>
        <v>#VALUE!</v>
      </c>
      <c r="AA372" s="195" t="e">
        <f t="shared" si="118"/>
        <v>#VALUE!</v>
      </c>
    </row>
    <row r="373" spans="1:27" s="24" customFormat="1" ht="16" thickBot="1">
      <c r="A373" s="197" t="s">
        <v>89</v>
      </c>
      <c r="B373" s="288">
        <f>B372*$B$4</f>
        <v>0</v>
      </c>
      <c r="C373" s="277" t="e">
        <f>C372*$B$4</f>
        <v>#VALUE!</v>
      </c>
      <c r="D373" s="277" t="e">
        <f>D372*$B$4</f>
        <v>#VALUE!</v>
      </c>
      <c r="E373" s="277" t="e">
        <f>E372*$B$4</f>
        <v>#VALUE!</v>
      </c>
      <c r="F373" s="277" t="e">
        <f t="shared" ref="F373:V373" si="119">F372*$B$4</f>
        <v>#VALUE!</v>
      </c>
      <c r="G373" s="277" t="e">
        <f t="shared" si="119"/>
        <v>#VALUE!</v>
      </c>
      <c r="H373" s="277" t="e">
        <f t="shared" si="119"/>
        <v>#VALUE!</v>
      </c>
      <c r="I373" s="277" t="e">
        <f t="shared" si="119"/>
        <v>#VALUE!</v>
      </c>
      <c r="J373" s="277" t="e">
        <f t="shared" si="119"/>
        <v>#VALUE!</v>
      </c>
      <c r="K373" s="277" t="e">
        <f t="shared" si="119"/>
        <v>#VALUE!</v>
      </c>
      <c r="L373" s="277" t="e">
        <f t="shared" si="119"/>
        <v>#VALUE!</v>
      </c>
      <c r="M373" s="277" t="e">
        <f t="shared" si="119"/>
        <v>#VALUE!</v>
      </c>
      <c r="N373" s="277" t="e">
        <f t="shared" si="119"/>
        <v>#VALUE!</v>
      </c>
      <c r="O373" s="277" t="e">
        <f t="shared" si="119"/>
        <v>#VALUE!</v>
      </c>
      <c r="P373" s="277" t="e">
        <f t="shared" si="119"/>
        <v>#VALUE!</v>
      </c>
      <c r="Q373" s="278" t="e">
        <f t="shared" si="119"/>
        <v>#VALUE!</v>
      </c>
      <c r="R373" s="279" t="e">
        <f t="shared" si="119"/>
        <v>#VALUE!</v>
      </c>
      <c r="S373" s="277" t="e">
        <f t="shared" si="119"/>
        <v>#VALUE!</v>
      </c>
      <c r="T373" s="277" t="e">
        <f t="shared" si="119"/>
        <v>#VALUE!</v>
      </c>
      <c r="U373" s="277" t="e">
        <f t="shared" si="119"/>
        <v>#VALUE!</v>
      </c>
      <c r="V373" s="280" t="e">
        <f t="shared" si="119"/>
        <v>#VALUE!</v>
      </c>
      <c r="W373" s="277" t="e">
        <f>W372*$B$4</f>
        <v>#VALUE!</v>
      </c>
      <c r="X373" s="277" t="e">
        <f>X372*$B$4</f>
        <v>#VALUE!</v>
      </c>
      <c r="Y373" s="277" t="e">
        <f>Y372*$B$4</f>
        <v>#VALUE!</v>
      </c>
      <c r="Z373" s="277" t="e">
        <f>Z372*$B$4</f>
        <v>#VALUE!</v>
      </c>
      <c r="AA373" s="281" t="e">
        <f>AA372*$B$4</f>
        <v>#VALUE!</v>
      </c>
    </row>
    <row r="374" spans="1:27" s="24" customFormat="1">
      <c r="A374" s="167"/>
      <c r="B374" s="168"/>
      <c r="C374" s="169"/>
      <c r="D374" s="169"/>
      <c r="E374" s="169"/>
      <c r="F374" s="169"/>
      <c r="G374" s="169"/>
      <c r="H374" s="169"/>
      <c r="I374" s="169"/>
      <c r="J374" s="169"/>
      <c r="K374" s="169"/>
      <c r="L374" s="169"/>
      <c r="M374" s="169"/>
      <c r="N374" s="169"/>
      <c r="O374" s="169"/>
      <c r="P374" s="169"/>
      <c r="Q374" s="170"/>
      <c r="R374" s="171"/>
      <c r="S374" s="169"/>
      <c r="T374" s="169"/>
      <c r="U374" s="169"/>
      <c r="V374" s="172"/>
      <c r="W374" s="169"/>
      <c r="X374" s="169"/>
      <c r="Y374" s="169"/>
      <c r="Z374" s="169"/>
      <c r="AA374" s="173"/>
    </row>
    <row r="375" spans="1:27" ht="16">
      <c r="A375" s="6" t="s">
        <v>34</v>
      </c>
      <c r="B375" s="291" t="e">
        <f t="shared" ref="B375:G375" si="120">B363+B367+B372</f>
        <v>#VALUE!</v>
      </c>
      <c r="C375" s="118" t="e">
        <f t="shared" si="120"/>
        <v>#VALUE!</v>
      </c>
      <c r="D375" s="118" t="e">
        <f t="shared" si="120"/>
        <v>#VALUE!</v>
      </c>
      <c r="E375" s="118" t="e">
        <f t="shared" si="120"/>
        <v>#VALUE!</v>
      </c>
      <c r="F375" s="118" t="e">
        <f t="shared" si="120"/>
        <v>#VALUE!</v>
      </c>
      <c r="G375" s="118" t="e">
        <f t="shared" si="120"/>
        <v>#VALUE!</v>
      </c>
      <c r="H375" s="118" t="e">
        <f t="shared" ref="H375:Q375" si="121">H363+H367+H372</f>
        <v>#VALUE!</v>
      </c>
      <c r="I375" s="118" t="e">
        <f t="shared" si="121"/>
        <v>#VALUE!</v>
      </c>
      <c r="J375" s="118" t="e">
        <f t="shared" si="121"/>
        <v>#VALUE!</v>
      </c>
      <c r="K375" s="118" t="e">
        <f t="shared" si="121"/>
        <v>#VALUE!</v>
      </c>
      <c r="L375" s="118" t="e">
        <f t="shared" si="121"/>
        <v>#VALUE!</v>
      </c>
      <c r="M375" s="118" t="e">
        <f t="shared" si="121"/>
        <v>#VALUE!</v>
      </c>
      <c r="N375" s="118" t="e">
        <f t="shared" si="121"/>
        <v>#VALUE!</v>
      </c>
      <c r="O375" s="118" t="e">
        <f t="shared" si="121"/>
        <v>#VALUE!</v>
      </c>
      <c r="P375" s="118" t="e">
        <f t="shared" si="121"/>
        <v>#VALUE!</v>
      </c>
      <c r="Q375" s="202" t="e">
        <f t="shared" si="121"/>
        <v>#VALUE!</v>
      </c>
      <c r="R375" s="136" t="e">
        <f t="shared" ref="R375:AA375" si="122">R363+R367+R372</f>
        <v>#VALUE!</v>
      </c>
      <c r="S375" s="118" t="e">
        <f t="shared" si="122"/>
        <v>#VALUE!</v>
      </c>
      <c r="T375" s="118" t="e">
        <f t="shared" si="122"/>
        <v>#VALUE!</v>
      </c>
      <c r="U375" s="118" t="e">
        <f t="shared" si="122"/>
        <v>#VALUE!</v>
      </c>
      <c r="V375" s="203" t="e">
        <f t="shared" si="122"/>
        <v>#VALUE!</v>
      </c>
      <c r="W375" s="118" t="e">
        <f t="shared" si="122"/>
        <v>#VALUE!</v>
      </c>
      <c r="X375" s="118" t="e">
        <f t="shared" si="122"/>
        <v>#VALUE!</v>
      </c>
      <c r="Y375" s="118" t="e">
        <f t="shared" si="122"/>
        <v>#VALUE!</v>
      </c>
      <c r="Z375" s="118" t="e">
        <f t="shared" si="122"/>
        <v>#VALUE!</v>
      </c>
      <c r="AA375" s="204" t="e">
        <f t="shared" si="122"/>
        <v>#VALUE!</v>
      </c>
    </row>
    <row r="376" spans="1:27" ht="16" thickBot="1">
      <c r="A376" s="135" t="s">
        <v>35</v>
      </c>
      <c r="B376" s="243" t="e">
        <f>($B$4*B375)</f>
        <v>#VALUE!</v>
      </c>
      <c r="C376" s="243" t="e">
        <f>$B$4*C375</f>
        <v>#VALUE!</v>
      </c>
      <c r="D376" s="243" t="e">
        <f>$B$4*D375</f>
        <v>#VALUE!</v>
      </c>
      <c r="E376" s="243" t="e">
        <f>$B$4*E375</f>
        <v>#VALUE!</v>
      </c>
      <c r="F376" s="243" t="e">
        <f t="shared" ref="F376:V376" si="123">$B$4*F375</f>
        <v>#VALUE!</v>
      </c>
      <c r="G376" s="243" t="e">
        <f t="shared" si="123"/>
        <v>#VALUE!</v>
      </c>
      <c r="H376" s="243" t="e">
        <f t="shared" si="123"/>
        <v>#VALUE!</v>
      </c>
      <c r="I376" s="243" t="e">
        <f t="shared" si="123"/>
        <v>#VALUE!</v>
      </c>
      <c r="J376" s="243" t="e">
        <f t="shared" si="123"/>
        <v>#VALUE!</v>
      </c>
      <c r="K376" s="243" t="e">
        <f t="shared" si="123"/>
        <v>#VALUE!</v>
      </c>
      <c r="L376" s="243" t="e">
        <f t="shared" si="123"/>
        <v>#VALUE!</v>
      </c>
      <c r="M376" s="243" t="e">
        <f t="shared" si="123"/>
        <v>#VALUE!</v>
      </c>
      <c r="N376" s="243" t="e">
        <f t="shared" si="123"/>
        <v>#VALUE!</v>
      </c>
      <c r="O376" s="243" t="e">
        <f t="shared" si="123"/>
        <v>#VALUE!</v>
      </c>
      <c r="P376" s="243" t="e">
        <f t="shared" si="123"/>
        <v>#VALUE!</v>
      </c>
      <c r="Q376" s="250" t="e">
        <f t="shared" si="123"/>
        <v>#VALUE!</v>
      </c>
      <c r="R376" s="251" t="e">
        <f t="shared" si="123"/>
        <v>#VALUE!</v>
      </c>
      <c r="S376" s="243" t="e">
        <f t="shared" si="123"/>
        <v>#VALUE!</v>
      </c>
      <c r="T376" s="243" t="e">
        <f t="shared" si="123"/>
        <v>#VALUE!</v>
      </c>
      <c r="U376" s="243" t="e">
        <f t="shared" si="123"/>
        <v>#VALUE!</v>
      </c>
      <c r="V376" s="265" t="e">
        <f t="shared" si="123"/>
        <v>#VALUE!</v>
      </c>
      <c r="W376" s="243" t="e">
        <f>$B$4*W375</f>
        <v>#VALUE!</v>
      </c>
      <c r="X376" s="243" t="e">
        <f>$B$4*X375</f>
        <v>#VALUE!</v>
      </c>
      <c r="Y376" s="243" t="e">
        <f>$B$4*Y375</f>
        <v>#VALUE!</v>
      </c>
      <c r="Z376" s="243" t="e">
        <f>$B$4*Z375</f>
        <v>#VALUE!</v>
      </c>
      <c r="AA376" s="32" t="e">
        <f>$B$4*AA375</f>
        <v>#VALUE!</v>
      </c>
    </row>
    <row r="377" spans="1:27" ht="17" thickTop="1" thickBot="1">
      <c r="A377" s="236"/>
      <c r="B377" s="28" t="s">
        <v>98</v>
      </c>
      <c r="C377" s="29" t="s">
        <v>91</v>
      </c>
      <c r="D377" s="30" t="s">
        <v>92</v>
      </c>
      <c r="E377" s="205"/>
      <c r="F377" s="205"/>
      <c r="G377" s="205"/>
      <c r="H377" s="205"/>
      <c r="I377" s="205"/>
      <c r="J377" s="205"/>
      <c r="K377" s="205"/>
      <c r="L377" s="205"/>
      <c r="M377" s="205"/>
      <c r="N377" s="263"/>
      <c r="O377" s="263"/>
      <c r="P377" s="263"/>
      <c r="Q377" s="263"/>
      <c r="R377" s="263"/>
      <c r="S377" s="263"/>
      <c r="T377" s="263"/>
      <c r="U377" s="263"/>
      <c r="V377" s="263"/>
      <c r="W377" s="263"/>
      <c r="X377" s="263"/>
      <c r="Y377" s="263"/>
      <c r="Z377" s="263"/>
      <c r="AA377" s="263"/>
    </row>
    <row r="378" spans="1:27" ht="16">
      <c r="A378" s="6" t="s">
        <v>36</v>
      </c>
      <c r="B378" s="206" t="e">
        <f>NPV($B$5,C375,D375:Q375)+B375-(Q362/((1+B356)^15))</f>
        <v>#VALUE!</v>
      </c>
      <c r="C378" s="207" t="e">
        <f>NPV($B$5,C375,D375:V375)+B375-(V362/((1+B356)^20))</f>
        <v>#VALUE!</v>
      </c>
      <c r="D378" s="31" t="e">
        <f>NPV($B$5,C375,D375:AA375)+B375-(AA362/((1+B356)^25))</f>
        <v>#VALUE!</v>
      </c>
      <c r="E378" s="208"/>
      <c r="F378" s="5"/>
      <c r="G378" s="5"/>
      <c r="H378" s="5"/>
      <c r="I378" s="5"/>
      <c r="J378" s="5"/>
      <c r="K378" s="5"/>
      <c r="L378" s="5"/>
      <c r="M378" s="5"/>
      <c r="N378" s="5"/>
      <c r="O378" s="5"/>
      <c r="P378" s="5"/>
      <c r="Q378" s="5"/>
      <c r="R378" s="5"/>
      <c r="S378" s="5"/>
      <c r="T378" s="5"/>
      <c r="U378" s="5"/>
      <c r="V378" s="5"/>
      <c r="W378" s="5"/>
      <c r="X378" s="4"/>
      <c r="Y378" s="4"/>
      <c r="Z378" s="4"/>
      <c r="AA378" s="4"/>
    </row>
    <row r="379" spans="1:27">
      <c r="A379" s="264" t="s">
        <v>37</v>
      </c>
      <c r="B379" s="210" t="e">
        <f>(NPV(B356,C376,D376:Q376))+B376-(Q362*$B$4/(1+B356)^15)</f>
        <v>#VALUE!</v>
      </c>
      <c r="C379" s="211" t="e">
        <f>(NPV(B356,C376,D376:V376))+B376-(V362*$B$4/(1+B356)^20)</f>
        <v>#VALUE!</v>
      </c>
      <c r="D379" s="212" t="e">
        <f>(NPV(B356,C376,D376:AA376))+B376-(AA362*$B$4/(1+B356)^25)</f>
        <v>#VALUE!</v>
      </c>
      <c r="E379" s="213"/>
      <c r="F379" s="213"/>
      <c r="G379" s="213"/>
      <c r="H379" s="214"/>
      <c r="I379" s="23"/>
      <c r="J379" s="23"/>
      <c r="K379" s="23"/>
      <c r="L379" s="23"/>
      <c r="M379" s="23"/>
      <c r="N379" s="23"/>
      <c r="O379" s="23"/>
      <c r="P379" s="23"/>
      <c r="Q379" s="23"/>
      <c r="R379" s="23"/>
      <c r="S379" s="23"/>
      <c r="T379" s="23"/>
      <c r="U379" s="23"/>
      <c r="V379" s="23"/>
      <c r="W379" s="23"/>
      <c r="X379" s="4"/>
      <c r="Y379" s="4"/>
      <c r="Z379" s="4"/>
      <c r="AA379" s="4"/>
    </row>
    <row r="380" spans="1:27">
      <c r="A380" s="209" t="s">
        <v>85</v>
      </c>
      <c r="B380" s="210" t="e">
        <f>NPV(B356,C364,D364:Q364)+B364-(Q362*$B$4/(1+B356)^15)</f>
        <v>#VALUE!</v>
      </c>
      <c r="C380" s="211" t="e">
        <f>NPV(B356,C364,D364:V364)+B364-(V362*$B$4/(1+B356)^20)</f>
        <v>#VALUE!</v>
      </c>
      <c r="D380" s="212" t="e">
        <f>NPV(B356,C364,D364:AA364)+B364-(AA362*$B$4/(1+B356)^25)</f>
        <v>#VALUE!</v>
      </c>
      <c r="E380" s="213"/>
      <c r="F380" s="213"/>
      <c r="G380" s="213"/>
      <c r="H380" s="214"/>
      <c r="I380" s="23"/>
      <c r="J380" s="23"/>
      <c r="K380" s="23"/>
      <c r="L380" s="23"/>
      <c r="M380" s="23"/>
      <c r="N380" s="23"/>
      <c r="O380" s="23"/>
      <c r="P380" s="23"/>
      <c r="Q380" s="23"/>
      <c r="R380" s="23"/>
      <c r="S380" s="23"/>
      <c r="T380" s="23"/>
      <c r="U380" s="23"/>
      <c r="V380" s="23"/>
      <c r="W380" s="23"/>
      <c r="X380" s="4"/>
      <c r="Y380" s="4"/>
      <c r="Z380" s="4"/>
      <c r="AA380" s="4"/>
    </row>
    <row r="381" spans="1:27">
      <c r="A381" s="209" t="s">
        <v>86</v>
      </c>
      <c r="B381" s="210" t="e">
        <f>NPV(B356,C368,D368:Q368)+B368</f>
        <v>#VALUE!</v>
      </c>
      <c r="C381" s="211" t="e">
        <f>NPV(B356,C368,D368:V368)+B368</f>
        <v>#VALUE!</v>
      </c>
      <c r="D381" s="212" t="e">
        <f>NPV(B356,C368,D368:AA368)+B368</f>
        <v>#VALUE!</v>
      </c>
      <c r="E381" s="213"/>
      <c r="F381" s="213"/>
      <c r="G381" s="213"/>
      <c r="H381" s="214"/>
      <c r="I381" s="23"/>
      <c r="J381" s="23"/>
      <c r="K381" s="23"/>
      <c r="L381" s="23"/>
      <c r="M381" s="23"/>
      <c r="N381" s="23"/>
      <c r="O381" s="23"/>
      <c r="P381" s="23"/>
      <c r="Q381" s="23"/>
      <c r="R381" s="23"/>
      <c r="S381" s="23"/>
      <c r="T381" s="23"/>
      <c r="U381" s="23"/>
      <c r="V381" s="23"/>
      <c r="W381" s="23"/>
      <c r="X381" s="4"/>
      <c r="Y381" s="4"/>
      <c r="Z381" s="4"/>
      <c r="AA381" s="4"/>
    </row>
    <row r="382" spans="1:27">
      <c r="A382" s="209" t="s">
        <v>90</v>
      </c>
      <c r="B382" s="210" t="e">
        <f>NPV(B356,C373,D373:Q373)+B373</f>
        <v>#VALUE!</v>
      </c>
      <c r="C382" s="211" t="e">
        <f>NPV(B356,C373,D373:V373)+B373</f>
        <v>#VALUE!</v>
      </c>
      <c r="D382" s="212" t="e">
        <f>NPV(B356,C373,D373:AA373)+B373</f>
        <v>#VALUE!</v>
      </c>
      <c r="E382" s="213"/>
      <c r="F382" s="213"/>
      <c r="G382" s="213"/>
      <c r="H382" s="214"/>
      <c r="I382" s="23"/>
      <c r="J382" s="23"/>
      <c r="K382" s="23"/>
      <c r="L382" s="23"/>
      <c r="M382" s="23"/>
      <c r="N382" s="23"/>
      <c r="O382" s="23"/>
      <c r="P382" s="23"/>
      <c r="Q382" s="23"/>
      <c r="R382" s="23"/>
      <c r="S382" s="23"/>
      <c r="T382" s="23"/>
      <c r="U382" s="23"/>
      <c r="V382" s="23"/>
      <c r="W382" s="23"/>
      <c r="X382" s="4"/>
      <c r="Y382" s="4"/>
      <c r="Z382" s="4"/>
      <c r="AA382" s="4"/>
    </row>
    <row r="383" spans="1:27" s="1" customFormat="1" ht="16" thickBot="1">
      <c r="A383" s="215" t="s">
        <v>303</v>
      </c>
      <c r="B383" s="216" t="e">
        <f>((Q362-Q361)/(1+B356)^15)*$B$4</f>
        <v>#VALUE!</v>
      </c>
      <c r="C383" s="217" t="e">
        <f>((V362-V361)/(1+B356)^20)*$B$4</f>
        <v>#VALUE!</v>
      </c>
      <c r="D383" s="218" t="e">
        <f>(AA362/(1+B356)^25)*$B$4</f>
        <v>#VALUE!</v>
      </c>
      <c r="E383" s="219"/>
      <c r="F383" s="219"/>
      <c r="G383" s="219"/>
      <c r="H383" s="23"/>
      <c r="I383" s="23"/>
      <c r="J383" s="23"/>
      <c r="K383" s="23"/>
      <c r="L383" s="23"/>
      <c r="M383" s="23"/>
      <c r="N383" s="23"/>
      <c r="O383" s="23"/>
      <c r="P383" s="23"/>
      <c r="Q383" s="23"/>
      <c r="R383" s="23"/>
      <c r="S383" s="23"/>
      <c r="T383" s="23"/>
      <c r="U383" s="23"/>
      <c r="V383" s="23"/>
      <c r="W383" s="23"/>
      <c r="X383" s="3"/>
      <c r="Y383" s="3"/>
      <c r="Z383" s="3"/>
      <c r="AA383" s="3"/>
    </row>
    <row r="384" spans="1:27" ht="16" thickTop="1">
      <c r="A384" s="4"/>
      <c r="B384" s="480"/>
      <c r="C384" s="480"/>
      <c r="D384" s="480"/>
      <c r="E384" s="5"/>
      <c r="F384" s="5"/>
      <c r="G384" s="5"/>
      <c r="H384" s="5"/>
      <c r="I384" s="5"/>
      <c r="J384" s="5"/>
      <c r="K384" s="5"/>
      <c r="L384" s="5"/>
      <c r="M384" s="5"/>
      <c r="N384" s="5"/>
      <c r="O384" s="5"/>
      <c r="P384" s="5"/>
      <c r="Q384" s="5"/>
      <c r="R384" s="5"/>
      <c r="S384" s="5"/>
      <c r="T384" s="5"/>
      <c r="U384" s="5"/>
      <c r="V384" s="4"/>
      <c r="W384" s="4"/>
      <c r="X384" s="4"/>
      <c r="Y384" s="4"/>
      <c r="Z384" s="4"/>
      <c r="AA384" s="4"/>
    </row>
    <row r="385" spans="1:27" ht="16" thickBot="1">
      <c r="A385" s="4"/>
      <c r="B385" s="481"/>
      <c r="C385" s="13"/>
      <c r="D385" s="486"/>
      <c r="E385" s="5"/>
      <c r="F385" s="5"/>
      <c r="G385" s="5"/>
      <c r="H385" s="5"/>
      <c r="I385" s="5"/>
      <c r="J385" s="5"/>
      <c r="K385" s="5"/>
      <c r="L385" s="5"/>
      <c r="M385" s="5"/>
      <c r="N385" s="5"/>
      <c r="O385" s="5"/>
      <c r="P385" s="5"/>
      <c r="Q385" s="5"/>
      <c r="R385" s="5"/>
      <c r="S385" s="5"/>
      <c r="T385" s="5"/>
      <c r="U385" s="5"/>
      <c r="V385" s="5"/>
      <c r="W385" s="4"/>
      <c r="X385" s="4"/>
      <c r="Y385" s="4"/>
      <c r="Z385" s="4"/>
      <c r="AA385" s="4"/>
    </row>
    <row r="386" spans="1:27" ht="36" customHeight="1" thickTop="1" thickBot="1">
      <c r="A386" s="1016" t="s">
        <v>352</v>
      </c>
      <c r="B386" s="1015"/>
      <c r="C386" s="255"/>
      <c r="D386" s="255"/>
      <c r="E386" s="149"/>
      <c r="F386" s="149"/>
      <c r="G386" s="149"/>
      <c r="H386" s="149"/>
      <c r="I386" s="149"/>
      <c r="J386" s="149"/>
      <c r="K386" s="149"/>
      <c r="L386" s="149"/>
      <c r="M386" s="149"/>
      <c r="N386" s="149"/>
      <c r="O386" s="149"/>
      <c r="P386" s="149"/>
      <c r="Q386" s="149"/>
      <c r="R386" s="149"/>
      <c r="S386" s="149"/>
      <c r="T386" s="149"/>
      <c r="U386" s="149"/>
      <c r="V386" s="149"/>
      <c r="W386" s="4"/>
      <c r="X386" s="4"/>
      <c r="Y386" s="4"/>
      <c r="Z386" s="4"/>
      <c r="AA386" s="4"/>
    </row>
    <row r="387" spans="1:27">
      <c r="A387" s="150" t="s">
        <v>83</v>
      </c>
      <c r="B387" s="657" t="str">
        <f>IF(Inputs!E32="No","",Inputs!$D$16)</f>
        <v/>
      </c>
      <c r="C387" s="152" t="s">
        <v>193</v>
      </c>
      <c r="D387" s="255"/>
      <c r="E387" s="149"/>
      <c r="F387" s="149"/>
      <c r="G387" s="149"/>
      <c r="H387" s="149"/>
      <c r="I387" s="149"/>
      <c r="J387" s="149"/>
      <c r="K387" s="149"/>
      <c r="L387" s="149"/>
      <c r="M387" s="149"/>
      <c r="N387" s="149"/>
      <c r="O387" s="149"/>
      <c r="P387" s="149"/>
      <c r="Q387" s="149"/>
      <c r="R387" s="149"/>
      <c r="S387" s="149"/>
      <c r="T387" s="149"/>
      <c r="U387" s="149"/>
      <c r="V387" s="149"/>
      <c r="W387" s="4"/>
      <c r="X387" s="4"/>
      <c r="Y387" s="4"/>
      <c r="Z387" s="4"/>
      <c r="AA387" s="4"/>
    </row>
    <row r="388" spans="1:27">
      <c r="A388" s="150" t="s">
        <v>221</v>
      </c>
      <c r="B388" s="151">
        <f>'Regional Fuel Costs'!C49</f>
        <v>5.5999999999999999E-3</v>
      </c>
      <c r="C388" s="152" t="s">
        <v>193</v>
      </c>
      <c r="D388" s="255"/>
      <c r="E388" s="149"/>
      <c r="F388" s="149"/>
      <c r="G388" s="149"/>
      <c r="H388" s="149"/>
      <c r="I388" s="149"/>
      <c r="J388" s="149"/>
      <c r="K388" s="149"/>
      <c r="L388" s="149"/>
      <c r="M388" s="149"/>
      <c r="N388" s="149"/>
      <c r="O388" s="149"/>
      <c r="P388" s="149"/>
      <c r="Q388" s="149"/>
      <c r="R388" s="149"/>
      <c r="S388" s="149"/>
      <c r="T388" s="149"/>
      <c r="U388" s="149"/>
      <c r="V388" s="149"/>
      <c r="W388" s="4"/>
      <c r="X388" s="4"/>
      <c r="Y388" s="4"/>
      <c r="Z388" s="4"/>
      <c r="AA388" s="4"/>
    </row>
    <row r="389" spans="1:27" ht="16">
      <c r="A389" s="150" t="s">
        <v>412</v>
      </c>
      <c r="B389" s="658">
        <f>Inputs!$D$11</f>
        <v>12</v>
      </c>
      <c r="C389" s="154" t="s">
        <v>290</v>
      </c>
      <c r="D389" s="255"/>
      <c r="E389" s="149"/>
      <c r="F389" s="149"/>
      <c r="G389" s="149"/>
      <c r="H389" s="149"/>
      <c r="I389" s="149"/>
      <c r="J389" s="149"/>
      <c r="K389" s="149"/>
      <c r="L389" s="149"/>
      <c r="M389" s="149"/>
      <c r="N389" s="149"/>
      <c r="O389" s="149"/>
      <c r="P389" s="149"/>
      <c r="Q389" s="149"/>
      <c r="R389" s="149"/>
      <c r="S389" s="149"/>
      <c r="T389" s="149"/>
      <c r="U389" s="149"/>
      <c r="V389" s="149"/>
      <c r="W389" s="4"/>
      <c r="X389" s="4"/>
      <c r="Y389" s="4"/>
      <c r="Z389" s="4"/>
      <c r="AA389" s="4"/>
    </row>
    <row r="390" spans="1:27">
      <c r="A390" s="150" t="s">
        <v>188</v>
      </c>
      <c r="B390" s="658">
        <f>Inputs!K32</f>
        <v>3.5</v>
      </c>
      <c r="C390" s="155" t="s">
        <v>196</v>
      </c>
      <c r="D390" s="255"/>
      <c r="E390" s="149"/>
      <c r="F390" s="149"/>
      <c r="G390" s="149"/>
      <c r="H390" s="149"/>
      <c r="I390" s="149"/>
      <c r="J390" s="149"/>
      <c r="K390" s="149"/>
      <c r="L390" s="149"/>
      <c r="M390" s="149"/>
      <c r="N390" s="149"/>
      <c r="O390" s="149"/>
      <c r="P390" s="149"/>
      <c r="Q390" s="149"/>
      <c r="R390" s="149"/>
      <c r="S390" s="149"/>
      <c r="T390" s="149"/>
      <c r="U390" s="149"/>
      <c r="V390" s="149"/>
      <c r="W390" s="4"/>
      <c r="X390" s="4"/>
      <c r="Y390" s="4"/>
      <c r="Z390" s="4"/>
      <c r="AA390" s="4"/>
    </row>
    <row r="391" spans="1:27">
      <c r="A391" s="150" t="s">
        <v>187</v>
      </c>
      <c r="B391" s="156">
        <f>'System Efficiencies'!C4</f>
        <v>0.95</v>
      </c>
      <c r="C391" s="155" t="s">
        <v>196</v>
      </c>
      <c r="D391" s="255"/>
      <c r="E391" s="149"/>
      <c r="F391" s="149"/>
      <c r="G391" s="149"/>
      <c r="H391" s="149"/>
      <c r="I391" s="149"/>
      <c r="J391" s="149"/>
      <c r="K391" s="149"/>
      <c r="L391" s="149"/>
      <c r="M391" s="149"/>
      <c r="N391" s="149"/>
      <c r="O391" s="149"/>
      <c r="P391" s="149"/>
      <c r="Q391" s="149"/>
      <c r="R391" s="149"/>
      <c r="S391" s="149"/>
      <c r="T391" s="149"/>
      <c r="U391" s="149"/>
      <c r="V391" s="149"/>
      <c r="W391" s="4"/>
      <c r="X391" s="4"/>
      <c r="Y391" s="4"/>
      <c r="Z391" s="4"/>
      <c r="AA391" s="4"/>
    </row>
    <row r="392" spans="1:27">
      <c r="A392" s="150" t="s">
        <v>189</v>
      </c>
      <c r="B392" s="659">
        <f>B390*B391</f>
        <v>3.3249999999999997</v>
      </c>
      <c r="C392" s="155" t="s">
        <v>196</v>
      </c>
      <c r="D392" s="255"/>
      <c r="E392" s="149"/>
      <c r="F392" s="149"/>
      <c r="G392" s="149"/>
      <c r="H392" s="149"/>
      <c r="I392" s="149"/>
      <c r="J392" s="149"/>
      <c r="K392" s="149"/>
      <c r="L392" s="149"/>
      <c r="M392" s="149"/>
      <c r="N392" s="149"/>
      <c r="O392" s="149"/>
      <c r="P392" s="149"/>
      <c r="Q392" s="149"/>
      <c r="R392" s="149"/>
      <c r="S392" s="149"/>
      <c r="T392" s="149"/>
      <c r="U392" s="149"/>
      <c r="V392" s="149"/>
      <c r="W392" s="4"/>
      <c r="X392" s="4"/>
      <c r="Y392" s="4"/>
      <c r="Z392" s="4"/>
      <c r="AA392" s="4"/>
    </row>
    <row r="393" spans="1:27" ht="16">
      <c r="A393" s="256" t="s">
        <v>413</v>
      </c>
      <c r="B393" s="658">
        <f>IF(Inputs!C8="No",0,Inputs!$D$13)</f>
        <v>0</v>
      </c>
      <c r="C393" s="154" t="s">
        <v>290</v>
      </c>
      <c r="D393" s="255"/>
      <c r="E393" s="149"/>
      <c r="F393" s="149"/>
      <c r="G393" s="149"/>
      <c r="H393" s="149"/>
      <c r="I393" s="149"/>
      <c r="J393" s="149"/>
      <c r="K393" s="149"/>
      <c r="L393" s="149"/>
      <c r="M393" s="149"/>
      <c r="N393" s="149"/>
      <c r="O393" s="149"/>
      <c r="P393" s="149"/>
      <c r="Q393" s="149"/>
      <c r="R393" s="149"/>
      <c r="S393" s="149"/>
      <c r="T393" s="149"/>
      <c r="U393" s="149"/>
      <c r="V393" s="149"/>
      <c r="W393" s="4"/>
      <c r="X393" s="4"/>
      <c r="Y393" s="4"/>
      <c r="Z393" s="4"/>
      <c r="AA393" s="4"/>
    </row>
    <row r="394" spans="1:27">
      <c r="A394" s="256" t="s">
        <v>190</v>
      </c>
      <c r="B394" s="658" t="str">
        <f>Inputs!M32</f>
        <v>N/A</v>
      </c>
      <c r="C394" s="155" t="s">
        <v>196</v>
      </c>
      <c r="D394" s="255"/>
      <c r="E394" s="149"/>
      <c r="F394" s="149"/>
      <c r="G394" s="149"/>
      <c r="H394" s="149"/>
      <c r="I394" s="149"/>
      <c r="J394" s="149"/>
      <c r="K394" s="149"/>
      <c r="L394" s="149"/>
      <c r="M394" s="149"/>
      <c r="N394" s="149"/>
      <c r="O394" s="149"/>
      <c r="P394" s="149"/>
      <c r="Q394" s="149"/>
      <c r="R394" s="149"/>
      <c r="S394" s="149"/>
      <c r="T394" s="149"/>
      <c r="U394" s="149"/>
      <c r="V394" s="149"/>
      <c r="W394" s="4"/>
      <c r="X394" s="4"/>
      <c r="Y394" s="4"/>
      <c r="Z394" s="4"/>
      <c r="AA394" s="4"/>
    </row>
    <row r="395" spans="1:27">
      <c r="A395" s="256" t="s">
        <v>191</v>
      </c>
      <c r="B395" s="156">
        <f>'System Efficiencies'!C5</f>
        <v>0.95</v>
      </c>
      <c r="C395" s="155" t="s">
        <v>196</v>
      </c>
      <c r="D395" s="255"/>
      <c r="E395" s="149"/>
      <c r="F395" s="149"/>
      <c r="G395" s="149"/>
      <c r="H395" s="149"/>
      <c r="I395" s="149"/>
      <c r="J395" s="149"/>
      <c r="K395" s="149"/>
      <c r="L395" s="149"/>
      <c r="M395" s="149"/>
      <c r="N395" s="149"/>
      <c r="O395" s="149"/>
      <c r="P395" s="149"/>
      <c r="Q395" s="149"/>
      <c r="R395" s="149"/>
      <c r="S395" s="149"/>
      <c r="T395" s="149"/>
      <c r="U395" s="149"/>
      <c r="V395" s="149"/>
      <c r="W395" s="4"/>
      <c r="X395" s="4"/>
      <c r="Y395" s="4"/>
      <c r="Z395" s="4"/>
      <c r="AA395" s="4"/>
    </row>
    <row r="396" spans="1:27">
      <c r="A396" s="256" t="s">
        <v>192</v>
      </c>
      <c r="B396" s="659" t="e">
        <f>B394*B395</f>
        <v>#VALUE!</v>
      </c>
      <c r="C396" s="155" t="s">
        <v>196</v>
      </c>
      <c r="D396" s="255"/>
      <c r="E396" s="149"/>
      <c r="F396" s="149"/>
      <c r="G396" s="149"/>
      <c r="H396" s="149"/>
      <c r="I396" s="149"/>
      <c r="J396" s="149"/>
      <c r="K396" s="149"/>
      <c r="L396" s="149"/>
      <c r="M396" s="149"/>
      <c r="N396" s="149"/>
      <c r="O396" s="149"/>
      <c r="P396" s="149"/>
      <c r="Q396" s="149"/>
      <c r="R396" s="149"/>
      <c r="S396" s="149"/>
      <c r="T396" s="149"/>
      <c r="U396" s="149"/>
      <c r="V396" s="149"/>
      <c r="W396" s="4"/>
      <c r="X396" s="4"/>
      <c r="Y396" s="4"/>
      <c r="Z396" s="4"/>
      <c r="AA396" s="4"/>
    </row>
    <row r="397" spans="1:27" ht="16">
      <c r="A397" s="150" t="s">
        <v>82</v>
      </c>
      <c r="B397" s="658" t="str">
        <f>Inputs!I32</f>
        <v>N/A</v>
      </c>
      <c r="C397" s="157" t="s">
        <v>195</v>
      </c>
      <c r="D397" s="255"/>
      <c r="E397" s="149"/>
      <c r="F397" s="149"/>
      <c r="G397" s="149"/>
      <c r="H397" s="149"/>
      <c r="I397" s="149"/>
      <c r="J397" s="149"/>
      <c r="K397" s="149"/>
      <c r="L397" s="149"/>
      <c r="M397" s="149"/>
      <c r="N397" s="149"/>
      <c r="O397" s="149"/>
      <c r="P397" s="149"/>
      <c r="Q397" s="149"/>
      <c r="R397" s="257"/>
      <c r="S397" s="257"/>
      <c r="T397" s="257"/>
      <c r="U397" s="257"/>
      <c r="V397" s="258"/>
      <c r="W397" s="258"/>
      <c r="X397" s="258"/>
      <c r="Y397" s="258"/>
      <c r="Z397" s="258"/>
      <c r="AA397" s="258"/>
    </row>
    <row r="398" spans="1:27">
      <c r="A398" s="150" t="s">
        <v>81</v>
      </c>
      <c r="B398" s="153">
        <f>'Capital Cost Structure'!E68</f>
        <v>25</v>
      </c>
      <c r="C398" s="157" t="s">
        <v>195</v>
      </c>
      <c r="D398" s="255"/>
      <c r="E398" s="303" t="s">
        <v>131</v>
      </c>
      <c r="F398" s="149"/>
      <c r="G398" s="149"/>
      <c r="H398" s="149"/>
      <c r="I398" s="149"/>
      <c r="J398" s="149"/>
      <c r="K398" s="149"/>
      <c r="L398" s="149"/>
      <c r="M398" s="149"/>
      <c r="N398" s="149"/>
      <c r="O398" s="149"/>
      <c r="P398" s="149"/>
      <c r="Q398" s="149"/>
      <c r="R398" s="149"/>
      <c r="S398" s="149"/>
      <c r="T398" s="149"/>
      <c r="U398" s="149"/>
      <c r="V398" s="149"/>
      <c r="W398" s="4"/>
      <c r="X398" s="4"/>
      <c r="Y398" s="4"/>
      <c r="Z398" s="4"/>
      <c r="AA398" s="4"/>
    </row>
    <row r="399" spans="1:27">
      <c r="A399" s="150" t="s">
        <v>32</v>
      </c>
      <c r="B399" s="156">
        <f>$B$5</f>
        <v>0.05</v>
      </c>
      <c r="C399" s="248" t="s">
        <v>194</v>
      </c>
      <c r="D399" s="255"/>
      <c r="E399" s="149"/>
      <c r="F399" s="149"/>
      <c r="G399" s="149"/>
      <c r="H399" s="149"/>
      <c r="I399" s="149"/>
      <c r="J399" s="149"/>
      <c r="K399" s="149"/>
      <c r="L399" s="149"/>
      <c r="M399" s="149"/>
      <c r="N399" s="149"/>
      <c r="O399" s="149"/>
      <c r="P399" s="149"/>
      <c r="Q399" s="149"/>
      <c r="R399" s="149"/>
      <c r="S399" s="149"/>
      <c r="T399" s="149"/>
      <c r="U399" s="149"/>
      <c r="V399" s="149"/>
      <c r="W399" s="4"/>
      <c r="X399" s="4"/>
      <c r="Y399" s="4"/>
      <c r="Z399" s="4"/>
      <c r="AA399" s="4"/>
    </row>
    <row r="400" spans="1:27" ht="16" thickBot="1">
      <c r="A400" s="159" t="s">
        <v>405</v>
      </c>
      <c r="B400" s="547">
        <f>Inputs!F32</f>
        <v>0</v>
      </c>
      <c r="C400" s="249" t="s">
        <v>194</v>
      </c>
      <c r="D400" s="160"/>
      <c r="E400" s="161"/>
      <c r="F400" s="161"/>
      <c r="G400" s="161"/>
      <c r="H400" s="161"/>
      <c r="I400" s="161"/>
      <c r="J400" s="161"/>
      <c r="K400" s="161"/>
      <c r="L400" s="161"/>
      <c r="M400" s="161"/>
      <c r="N400" s="161"/>
      <c r="O400" s="161"/>
      <c r="P400" s="161"/>
      <c r="Q400" s="161"/>
      <c r="R400" s="161"/>
      <c r="S400" s="161"/>
      <c r="T400" s="161"/>
      <c r="U400" s="161"/>
      <c r="V400" s="161"/>
      <c r="W400" s="4"/>
      <c r="X400" s="4"/>
      <c r="Y400" s="4"/>
      <c r="Z400" s="4"/>
      <c r="AA400" s="4"/>
    </row>
    <row r="401" spans="1:27" ht="17" thickTop="1" thickBot="1">
      <c r="A401" s="6" t="s">
        <v>0</v>
      </c>
      <c r="B401" s="139" t="s">
        <v>51</v>
      </c>
      <c r="C401" s="117" t="s">
        <v>1</v>
      </c>
      <c r="D401" s="117" t="s">
        <v>2</v>
      </c>
      <c r="E401" s="117" t="s">
        <v>3</v>
      </c>
      <c r="F401" s="117" t="s">
        <v>4</v>
      </c>
      <c r="G401" s="117" t="s">
        <v>5</v>
      </c>
      <c r="H401" s="117" t="s">
        <v>6</v>
      </c>
      <c r="I401" s="117" t="s">
        <v>7</v>
      </c>
      <c r="J401" s="117" t="s">
        <v>8</v>
      </c>
      <c r="K401" s="117" t="s">
        <v>9</v>
      </c>
      <c r="L401" s="117" t="s">
        <v>10</v>
      </c>
      <c r="M401" s="117" t="s">
        <v>11</v>
      </c>
      <c r="N401" s="117" t="s">
        <v>12</v>
      </c>
      <c r="O401" s="117" t="s">
        <v>13</v>
      </c>
      <c r="P401" s="117" t="s">
        <v>14</v>
      </c>
      <c r="Q401" s="162" t="s">
        <v>15</v>
      </c>
      <c r="R401" s="139" t="s">
        <v>16</v>
      </c>
      <c r="S401" s="117" t="s">
        <v>17</v>
      </c>
      <c r="T401" s="117" t="s">
        <v>18</v>
      </c>
      <c r="U401" s="117" t="s">
        <v>19</v>
      </c>
      <c r="V401" s="163" t="s">
        <v>20</v>
      </c>
      <c r="W401" s="164" t="s">
        <v>93</v>
      </c>
      <c r="X401" s="165" t="s">
        <v>94</v>
      </c>
      <c r="Y401" s="165" t="s">
        <v>95</v>
      </c>
      <c r="Z401" s="165" t="s">
        <v>96</v>
      </c>
      <c r="AA401" s="166" t="s">
        <v>97</v>
      </c>
    </row>
    <row r="402" spans="1:27" ht="16">
      <c r="A402" s="167" t="s">
        <v>314</v>
      </c>
      <c r="B402" s="168" t="e">
        <f>B397*(1-Inputs!G32)</f>
        <v>#VALUE!</v>
      </c>
      <c r="C402" s="169"/>
      <c r="D402" s="169"/>
      <c r="E402" s="169"/>
      <c r="F402" s="169"/>
      <c r="G402" s="169"/>
      <c r="H402" s="169"/>
      <c r="I402" s="169"/>
      <c r="J402" s="169"/>
      <c r="K402" s="169"/>
      <c r="L402" s="169"/>
      <c r="M402" s="169"/>
      <c r="N402" s="169"/>
      <c r="O402" s="169"/>
      <c r="P402" s="169"/>
      <c r="Q402" s="170"/>
      <c r="R402" s="171"/>
      <c r="S402" s="169"/>
      <c r="T402" s="169"/>
      <c r="U402" s="169"/>
      <c r="V402" s="172"/>
      <c r="W402" s="169"/>
      <c r="X402" s="169"/>
      <c r="Y402" s="169"/>
      <c r="Z402" s="169"/>
      <c r="AA402" s="173"/>
    </row>
    <row r="403" spans="1:27">
      <c r="A403" s="209" t="s">
        <v>270</v>
      </c>
      <c r="B403" s="139"/>
      <c r="C403" s="7"/>
      <c r="D403" s="7"/>
      <c r="E403" s="7"/>
      <c r="F403" s="7"/>
      <c r="G403" s="269" t="s">
        <v>183</v>
      </c>
      <c r="H403" s="127"/>
      <c r="I403" s="127"/>
      <c r="J403" s="127"/>
      <c r="K403" s="127"/>
      <c r="L403" s="269" t="s">
        <v>267</v>
      </c>
      <c r="M403" s="7"/>
      <c r="N403" s="7"/>
      <c r="O403" s="7"/>
      <c r="P403" s="7"/>
      <c r="Q403" s="162" t="s">
        <v>363</v>
      </c>
      <c r="R403" s="174"/>
      <c r="S403" s="7"/>
      <c r="T403" s="7"/>
      <c r="U403" s="7"/>
      <c r="V403" s="163" t="s">
        <v>271</v>
      </c>
      <c r="W403" s="7"/>
      <c r="X403" s="7"/>
      <c r="Y403" s="7"/>
      <c r="Z403" s="7"/>
      <c r="AA403" s="175"/>
    </row>
    <row r="404" spans="1:27" ht="16">
      <c r="A404" s="266" t="s">
        <v>269</v>
      </c>
      <c r="B404" s="139">
        <v>0</v>
      </c>
      <c r="C404" s="7"/>
      <c r="D404" s="7"/>
      <c r="E404" s="7"/>
      <c r="F404" s="7"/>
      <c r="G404" s="651" t="e">
        <f>('Capital Cost Structure'!F73*B397)</f>
        <v>#VALUE!</v>
      </c>
      <c r="H404" s="7"/>
      <c r="I404" s="7"/>
      <c r="J404" s="7"/>
      <c r="K404" s="7"/>
      <c r="L404" s="651" t="e">
        <f>('Capital Cost Structure'!F73*B397)+('Capital Cost Structure'!F72*B397)</f>
        <v>#VALUE!</v>
      </c>
      <c r="M404" s="7"/>
      <c r="N404" s="7"/>
      <c r="O404" s="7"/>
      <c r="P404" s="7"/>
      <c r="Q404" s="653" t="e">
        <f>('Capital Cost Structure'!F73*B397)+('Capital Cost Structure'!F74*B397)+('Capital Cost Structure'!F69*B397)+('Capital Cost Structure'!F70*B397)</f>
        <v>#VALUE!</v>
      </c>
      <c r="R404" s="174"/>
      <c r="S404" s="7"/>
      <c r="T404" s="7"/>
      <c r="U404" s="7"/>
      <c r="V404" s="653" t="e">
        <f>('Capital Cost Structure'!F73*B397)+('Capital Cost Structure'!F72*B397)</f>
        <v>#VALUE!</v>
      </c>
      <c r="W404" s="7"/>
      <c r="X404" s="7"/>
      <c r="Y404" s="7"/>
      <c r="Z404" s="7"/>
      <c r="AA404" s="175"/>
    </row>
    <row r="405" spans="1:27">
      <c r="A405" s="209" t="s">
        <v>50</v>
      </c>
      <c r="B405" s="139" t="e">
        <f>B402</f>
        <v>#VALUE!</v>
      </c>
      <c r="C405" s="177" t="e">
        <f>B405+C404-($B$402/$B$398)</f>
        <v>#VALUE!</v>
      </c>
      <c r="D405" s="177" t="e">
        <f t="shared" ref="D405:AA405" si="124">C405+D404-($B$402/$B$398)</f>
        <v>#VALUE!</v>
      </c>
      <c r="E405" s="177" t="e">
        <f t="shared" si="124"/>
        <v>#VALUE!</v>
      </c>
      <c r="F405" s="177" t="e">
        <f t="shared" si="124"/>
        <v>#VALUE!</v>
      </c>
      <c r="G405" s="177" t="e">
        <f>F405+G404-($B$402/$B$398)</f>
        <v>#VALUE!</v>
      </c>
      <c r="H405" s="177" t="e">
        <f>G405+H404-($B$402/$B$398)</f>
        <v>#VALUE!</v>
      </c>
      <c r="I405" s="177" t="e">
        <f t="shared" si="124"/>
        <v>#VALUE!</v>
      </c>
      <c r="J405" s="177" t="e">
        <f t="shared" si="124"/>
        <v>#VALUE!</v>
      </c>
      <c r="K405" s="177" t="e">
        <f t="shared" si="124"/>
        <v>#VALUE!</v>
      </c>
      <c r="L405" s="177" t="e">
        <f t="shared" si="124"/>
        <v>#VALUE!</v>
      </c>
      <c r="M405" s="177" t="e">
        <f t="shared" si="124"/>
        <v>#VALUE!</v>
      </c>
      <c r="N405" s="177" t="e">
        <f t="shared" si="124"/>
        <v>#VALUE!</v>
      </c>
      <c r="O405" s="177" t="e">
        <f t="shared" si="124"/>
        <v>#VALUE!</v>
      </c>
      <c r="P405" s="177" t="e">
        <f t="shared" si="124"/>
        <v>#VALUE!</v>
      </c>
      <c r="Q405" s="244" t="e">
        <f t="shared" si="124"/>
        <v>#VALUE!</v>
      </c>
      <c r="R405" s="245" t="e">
        <f t="shared" si="124"/>
        <v>#VALUE!</v>
      </c>
      <c r="S405" s="177" t="e">
        <f t="shared" si="124"/>
        <v>#VALUE!</v>
      </c>
      <c r="T405" s="177" t="e">
        <f t="shared" si="124"/>
        <v>#VALUE!</v>
      </c>
      <c r="U405" s="177" t="e">
        <f t="shared" si="124"/>
        <v>#VALUE!</v>
      </c>
      <c r="V405" s="179" t="e">
        <f t="shared" si="124"/>
        <v>#VALUE!</v>
      </c>
      <c r="W405" s="7" t="e">
        <f t="shared" si="124"/>
        <v>#VALUE!</v>
      </c>
      <c r="X405" s="7" t="e">
        <f t="shared" si="124"/>
        <v>#VALUE!</v>
      </c>
      <c r="Y405" s="7" t="e">
        <f t="shared" si="124"/>
        <v>#VALUE!</v>
      </c>
      <c r="Z405" s="7" t="e">
        <f t="shared" si="124"/>
        <v>#VALUE!</v>
      </c>
      <c r="AA405" s="175" t="e">
        <f t="shared" si="124"/>
        <v>#VALUE!</v>
      </c>
    </row>
    <row r="406" spans="1:27" ht="16">
      <c r="A406" s="180" t="s">
        <v>22</v>
      </c>
      <c r="B406" s="183" t="e">
        <f>B402+B404+(B400/$B$4)</f>
        <v>#VALUE!</v>
      </c>
      <c r="C406" s="181">
        <f t="shared" ref="C406:AA406" si="125">C402+C404</f>
        <v>0</v>
      </c>
      <c r="D406" s="181">
        <f t="shared" si="125"/>
        <v>0</v>
      </c>
      <c r="E406" s="181">
        <f t="shared" si="125"/>
        <v>0</v>
      </c>
      <c r="F406" s="181">
        <f t="shared" si="125"/>
        <v>0</v>
      </c>
      <c r="G406" s="181" t="e">
        <f t="shared" si="125"/>
        <v>#VALUE!</v>
      </c>
      <c r="H406" s="181">
        <f t="shared" si="125"/>
        <v>0</v>
      </c>
      <c r="I406" s="181">
        <f t="shared" si="125"/>
        <v>0</v>
      </c>
      <c r="J406" s="181">
        <f t="shared" si="125"/>
        <v>0</v>
      </c>
      <c r="K406" s="181">
        <f t="shared" si="125"/>
        <v>0</v>
      </c>
      <c r="L406" s="181" t="e">
        <f>L402+L404</f>
        <v>#VALUE!</v>
      </c>
      <c r="M406" s="181">
        <f t="shared" si="125"/>
        <v>0</v>
      </c>
      <c r="N406" s="181">
        <f t="shared" si="125"/>
        <v>0</v>
      </c>
      <c r="O406" s="181">
        <f t="shared" si="125"/>
        <v>0</v>
      </c>
      <c r="P406" s="181">
        <f t="shared" si="125"/>
        <v>0</v>
      </c>
      <c r="Q406" s="182" t="e">
        <f t="shared" si="125"/>
        <v>#VALUE!</v>
      </c>
      <c r="R406" s="183">
        <f t="shared" si="125"/>
        <v>0</v>
      </c>
      <c r="S406" s="181">
        <f t="shared" si="125"/>
        <v>0</v>
      </c>
      <c r="T406" s="181">
        <f t="shared" si="125"/>
        <v>0</v>
      </c>
      <c r="U406" s="181">
        <f t="shared" si="125"/>
        <v>0</v>
      </c>
      <c r="V406" s="182" t="e">
        <f t="shared" si="125"/>
        <v>#VALUE!</v>
      </c>
      <c r="W406" s="181">
        <f t="shared" si="125"/>
        <v>0</v>
      </c>
      <c r="X406" s="181">
        <f t="shared" si="125"/>
        <v>0</v>
      </c>
      <c r="Y406" s="181">
        <f t="shared" si="125"/>
        <v>0</v>
      </c>
      <c r="Z406" s="181">
        <f t="shared" si="125"/>
        <v>0</v>
      </c>
      <c r="AA406" s="182">
        <f t="shared" si="125"/>
        <v>0</v>
      </c>
    </row>
    <row r="407" spans="1:27" s="18" customFormat="1" ht="16" thickBot="1">
      <c r="A407" s="184" t="s">
        <v>87</v>
      </c>
      <c r="B407" s="185" t="e">
        <f>(B406*$B$4)</f>
        <v>#VALUE!</v>
      </c>
      <c r="C407" s="186">
        <f>C406*$B$4</f>
        <v>0</v>
      </c>
      <c r="D407" s="186">
        <f>D406*$B$4</f>
        <v>0</v>
      </c>
      <c r="E407" s="186">
        <f>E406*$B$4</f>
        <v>0</v>
      </c>
      <c r="F407" s="186">
        <f>F406*$B$4</f>
        <v>0</v>
      </c>
      <c r="G407" s="186" t="e">
        <f>G406*$B$4</f>
        <v>#VALUE!</v>
      </c>
      <c r="H407" s="186">
        <f t="shared" ref="H407:V407" si="126">H406*$B$4</f>
        <v>0</v>
      </c>
      <c r="I407" s="186">
        <f t="shared" si="126"/>
        <v>0</v>
      </c>
      <c r="J407" s="186">
        <f t="shared" si="126"/>
        <v>0</v>
      </c>
      <c r="K407" s="186">
        <f t="shared" si="126"/>
        <v>0</v>
      </c>
      <c r="L407" s="186" t="e">
        <f>L406*$B$4</f>
        <v>#VALUE!</v>
      </c>
      <c r="M407" s="186">
        <f t="shared" si="126"/>
        <v>0</v>
      </c>
      <c r="N407" s="186">
        <f t="shared" si="126"/>
        <v>0</v>
      </c>
      <c r="O407" s="186">
        <f t="shared" si="126"/>
        <v>0</v>
      </c>
      <c r="P407" s="186">
        <f t="shared" si="126"/>
        <v>0</v>
      </c>
      <c r="Q407" s="187" t="e">
        <f t="shared" si="126"/>
        <v>#VALUE!</v>
      </c>
      <c r="R407" s="185">
        <f t="shared" si="126"/>
        <v>0</v>
      </c>
      <c r="S407" s="186">
        <f t="shared" si="126"/>
        <v>0</v>
      </c>
      <c r="T407" s="186">
        <f t="shared" si="126"/>
        <v>0</v>
      </c>
      <c r="U407" s="186">
        <f t="shared" si="126"/>
        <v>0</v>
      </c>
      <c r="V407" s="188" t="e">
        <f t="shared" si="126"/>
        <v>#VALUE!</v>
      </c>
      <c r="W407" s="186">
        <f>W406*$B$4</f>
        <v>0</v>
      </c>
      <c r="X407" s="186">
        <f>X406*$B$4</f>
        <v>0</v>
      </c>
      <c r="Y407" s="186">
        <f>Y406*$B$4</f>
        <v>0</v>
      </c>
      <c r="Z407" s="186">
        <f>Z406*$B$4</f>
        <v>0</v>
      </c>
      <c r="AA407" s="189">
        <f>AA406*$B$4</f>
        <v>0</v>
      </c>
    </row>
    <row r="408" spans="1:27">
      <c r="A408" s="6"/>
      <c r="B408" s="139"/>
      <c r="C408" s="7"/>
      <c r="D408" s="7"/>
      <c r="E408" s="7"/>
      <c r="F408" s="7"/>
      <c r="G408" s="7"/>
      <c r="H408" s="7"/>
      <c r="I408" s="7"/>
      <c r="J408" s="7"/>
      <c r="K408" s="7"/>
      <c r="L408" s="7"/>
      <c r="M408" s="7"/>
      <c r="N408" s="7"/>
      <c r="O408" s="7"/>
      <c r="P408" s="7"/>
      <c r="Q408" s="104"/>
      <c r="R408" s="174"/>
      <c r="S408" s="7"/>
      <c r="T408" s="7"/>
      <c r="U408" s="7"/>
      <c r="V408" s="179"/>
      <c r="W408" s="7"/>
      <c r="X408" s="7"/>
      <c r="Y408" s="7"/>
      <c r="Z408" s="7"/>
      <c r="AA408" s="175"/>
    </row>
    <row r="409" spans="1:27">
      <c r="A409" s="209" t="s">
        <v>21</v>
      </c>
      <c r="B409" s="139">
        <v>0</v>
      </c>
      <c r="C409" s="17">
        <v>0.01</v>
      </c>
      <c r="D409" s="17">
        <f>C409+(0.01/($B$398-1))</f>
        <v>1.0416666666666666E-2</v>
      </c>
      <c r="E409" s="17">
        <f>D409+(0.01/($B$398-1))</f>
        <v>1.0833333333333332E-2</v>
      </c>
      <c r="F409" s="17">
        <f t="shared" ref="F409:AA409" si="127">E409+(0.01/($B$398-1))</f>
        <v>1.1249999999999998E-2</v>
      </c>
      <c r="G409" s="17">
        <f t="shared" si="127"/>
        <v>1.1666666666666664E-2</v>
      </c>
      <c r="H409" s="17">
        <f t="shared" si="127"/>
        <v>1.208333333333333E-2</v>
      </c>
      <c r="I409" s="17">
        <f t="shared" si="127"/>
        <v>1.2499999999999995E-2</v>
      </c>
      <c r="J409" s="17">
        <f t="shared" si="127"/>
        <v>1.2916666666666661E-2</v>
      </c>
      <c r="K409" s="17">
        <f t="shared" si="127"/>
        <v>1.3333333333333327E-2</v>
      </c>
      <c r="L409" s="17">
        <f t="shared" si="127"/>
        <v>1.3749999999999993E-2</v>
      </c>
      <c r="M409" s="17">
        <f t="shared" si="127"/>
        <v>1.4166666666666659E-2</v>
      </c>
      <c r="N409" s="17">
        <f>M409+(0.01/($B$398-1))</f>
        <v>1.4583333333333325E-2</v>
      </c>
      <c r="O409" s="17">
        <f t="shared" si="127"/>
        <v>1.4999999999999991E-2</v>
      </c>
      <c r="P409" s="17">
        <f t="shared" si="127"/>
        <v>1.5416666666666657E-2</v>
      </c>
      <c r="Q409" s="190">
        <f t="shared" si="127"/>
        <v>1.5833333333333324E-2</v>
      </c>
      <c r="R409" s="191">
        <f t="shared" si="127"/>
        <v>1.624999999999999E-2</v>
      </c>
      <c r="S409" s="17">
        <f t="shared" si="127"/>
        <v>1.6666666666666656E-2</v>
      </c>
      <c r="T409" s="17">
        <f t="shared" si="127"/>
        <v>1.7083333333333322E-2</v>
      </c>
      <c r="U409" s="17">
        <f t="shared" si="127"/>
        <v>1.7499999999999988E-2</v>
      </c>
      <c r="V409" s="192">
        <f t="shared" si="127"/>
        <v>1.7916666666666654E-2</v>
      </c>
      <c r="W409" s="17">
        <f t="shared" si="127"/>
        <v>1.833333333333332E-2</v>
      </c>
      <c r="X409" s="17">
        <f t="shared" si="127"/>
        <v>1.8749999999999985E-2</v>
      </c>
      <c r="Y409" s="17">
        <f t="shared" si="127"/>
        <v>1.9166666666666651E-2</v>
      </c>
      <c r="Z409" s="17">
        <f t="shared" si="127"/>
        <v>1.9583333333333317E-2</v>
      </c>
      <c r="AA409" s="193">
        <f t="shared" si="127"/>
        <v>1.9999999999999983E-2</v>
      </c>
    </row>
    <row r="410" spans="1:27" ht="16">
      <c r="A410" s="180" t="s">
        <v>23</v>
      </c>
      <c r="B410" s="194" t="e">
        <f>B409*$B$397</f>
        <v>#VALUE!</v>
      </c>
      <c r="C410" s="194" t="e">
        <f>C409*$B$397</f>
        <v>#VALUE!</v>
      </c>
      <c r="D410" s="194" t="e">
        <f>D409*$B$397</f>
        <v>#VALUE!</v>
      </c>
      <c r="E410" s="194" t="e">
        <f t="shared" ref="E410:AA410" si="128">E409*$B$397</f>
        <v>#VALUE!</v>
      </c>
      <c r="F410" s="194" t="e">
        <f>F409*$B$397</f>
        <v>#VALUE!</v>
      </c>
      <c r="G410" s="194" t="e">
        <f t="shared" si="128"/>
        <v>#VALUE!</v>
      </c>
      <c r="H410" s="194" t="e">
        <f t="shared" si="128"/>
        <v>#VALUE!</v>
      </c>
      <c r="I410" s="194" t="e">
        <f t="shared" si="128"/>
        <v>#VALUE!</v>
      </c>
      <c r="J410" s="194" t="e">
        <f t="shared" si="128"/>
        <v>#VALUE!</v>
      </c>
      <c r="K410" s="194" t="e">
        <f t="shared" si="128"/>
        <v>#VALUE!</v>
      </c>
      <c r="L410" s="194" t="e">
        <f t="shared" si="128"/>
        <v>#VALUE!</v>
      </c>
      <c r="M410" s="194" t="e">
        <f>M409*$B$397</f>
        <v>#VALUE!</v>
      </c>
      <c r="N410" s="194" t="e">
        <f t="shared" si="128"/>
        <v>#VALUE!</v>
      </c>
      <c r="O410" s="194" t="e">
        <f t="shared" si="128"/>
        <v>#VALUE!</v>
      </c>
      <c r="P410" s="194" t="e">
        <f t="shared" si="128"/>
        <v>#VALUE!</v>
      </c>
      <c r="Q410" s="195" t="e">
        <f t="shared" si="128"/>
        <v>#VALUE!</v>
      </c>
      <c r="R410" s="196" t="e">
        <f t="shared" si="128"/>
        <v>#VALUE!</v>
      </c>
      <c r="S410" s="194" t="e">
        <f t="shared" si="128"/>
        <v>#VALUE!</v>
      </c>
      <c r="T410" s="194" t="e">
        <f t="shared" si="128"/>
        <v>#VALUE!</v>
      </c>
      <c r="U410" s="194" t="e">
        <f t="shared" si="128"/>
        <v>#VALUE!</v>
      </c>
      <c r="V410" s="195" t="e">
        <f t="shared" si="128"/>
        <v>#VALUE!</v>
      </c>
      <c r="W410" s="194" t="e">
        <f t="shared" si="128"/>
        <v>#VALUE!</v>
      </c>
      <c r="X410" s="194" t="e">
        <f t="shared" si="128"/>
        <v>#VALUE!</v>
      </c>
      <c r="Y410" s="194" t="e">
        <f t="shared" si="128"/>
        <v>#VALUE!</v>
      </c>
      <c r="Z410" s="194" t="e">
        <f t="shared" si="128"/>
        <v>#VALUE!</v>
      </c>
      <c r="AA410" s="195" t="e">
        <f t="shared" si="128"/>
        <v>#VALUE!</v>
      </c>
    </row>
    <row r="411" spans="1:27" s="24" customFormat="1" ht="16" thickBot="1">
      <c r="A411" s="184" t="s">
        <v>88</v>
      </c>
      <c r="B411" s="279" t="e">
        <f t="shared" ref="B411:K411" si="129">B410*$B$4</f>
        <v>#VALUE!</v>
      </c>
      <c r="C411" s="277" t="e">
        <f t="shared" si="129"/>
        <v>#VALUE!</v>
      </c>
      <c r="D411" s="277" t="e">
        <f t="shared" si="129"/>
        <v>#VALUE!</v>
      </c>
      <c r="E411" s="277" t="e">
        <f t="shared" si="129"/>
        <v>#VALUE!</v>
      </c>
      <c r="F411" s="277" t="e">
        <f t="shared" si="129"/>
        <v>#VALUE!</v>
      </c>
      <c r="G411" s="277" t="e">
        <f t="shared" si="129"/>
        <v>#VALUE!</v>
      </c>
      <c r="H411" s="277" t="e">
        <f t="shared" si="129"/>
        <v>#VALUE!</v>
      </c>
      <c r="I411" s="277" t="e">
        <f t="shared" si="129"/>
        <v>#VALUE!</v>
      </c>
      <c r="J411" s="277" t="e">
        <f t="shared" si="129"/>
        <v>#VALUE!</v>
      </c>
      <c r="K411" s="277" t="e">
        <f t="shared" si="129"/>
        <v>#VALUE!</v>
      </c>
      <c r="L411" s="277" t="e">
        <f t="shared" ref="L411:V411" si="130">L410*$B$4</f>
        <v>#VALUE!</v>
      </c>
      <c r="M411" s="277" t="e">
        <f t="shared" si="130"/>
        <v>#VALUE!</v>
      </c>
      <c r="N411" s="277" t="e">
        <f t="shared" si="130"/>
        <v>#VALUE!</v>
      </c>
      <c r="O411" s="277" t="e">
        <f t="shared" si="130"/>
        <v>#VALUE!</v>
      </c>
      <c r="P411" s="277" t="e">
        <f t="shared" si="130"/>
        <v>#VALUE!</v>
      </c>
      <c r="Q411" s="278" t="e">
        <f t="shared" si="130"/>
        <v>#VALUE!</v>
      </c>
      <c r="R411" s="279" t="e">
        <f t="shared" si="130"/>
        <v>#VALUE!</v>
      </c>
      <c r="S411" s="277" t="e">
        <f t="shared" si="130"/>
        <v>#VALUE!</v>
      </c>
      <c r="T411" s="277" t="e">
        <f t="shared" si="130"/>
        <v>#VALUE!</v>
      </c>
      <c r="U411" s="277" t="e">
        <f t="shared" si="130"/>
        <v>#VALUE!</v>
      </c>
      <c r="V411" s="280" t="e">
        <f t="shared" si="130"/>
        <v>#VALUE!</v>
      </c>
      <c r="W411" s="277" t="e">
        <f>W410*$B$4</f>
        <v>#VALUE!</v>
      </c>
      <c r="X411" s="277" t="e">
        <f>X410*$B$4</f>
        <v>#VALUE!</v>
      </c>
      <c r="Y411" s="277" t="e">
        <f>Y410*$B$4</f>
        <v>#VALUE!</v>
      </c>
      <c r="Z411" s="277" t="e">
        <f>Z410*$B$4</f>
        <v>#VALUE!</v>
      </c>
      <c r="AA411" s="281" t="e">
        <f>AA410*$B$4</f>
        <v>#VALUE!</v>
      </c>
    </row>
    <row r="412" spans="1:27">
      <c r="A412" s="199"/>
      <c r="B412" s="174"/>
      <c r="C412" s="7"/>
      <c r="D412" s="7"/>
      <c r="E412" s="7"/>
      <c r="F412" s="7"/>
      <c r="G412" s="7"/>
      <c r="H412" s="7"/>
      <c r="I412" s="7"/>
      <c r="J412" s="7"/>
      <c r="K412" s="7"/>
      <c r="L412" s="7"/>
      <c r="M412" s="7"/>
      <c r="N412" s="7"/>
      <c r="O412" s="7"/>
      <c r="P412" s="7"/>
      <c r="Q412" s="104"/>
      <c r="R412" s="174"/>
      <c r="S412" s="7"/>
      <c r="T412" s="7"/>
      <c r="U412" s="7"/>
      <c r="V412" s="179"/>
      <c r="W412" s="7"/>
      <c r="X412" s="7"/>
      <c r="Y412" s="7"/>
      <c r="Z412" s="7"/>
      <c r="AA412" s="175"/>
    </row>
    <row r="413" spans="1:27">
      <c r="A413" s="6" t="s">
        <v>25</v>
      </c>
      <c r="B413" s="139">
        <v>0</v>
      </c>
      <c r="C413" s="259" t="str">
        <f>B387</f>
        <v/>
      </c>
      <c r="D413" s="259" t="e">
        <f t="shared" ref="D413:AA413" si="131">C413+C414</f>
        <v>#VALUE!</v>
      </c>
      <c r="E413" s="259" t="e">
        <f t="shared" si="131"/>
        <v>#VALUE!</v>
      </c>
      <c r="F413" s="259" t="e">
        <f t="shared" si="131"/>
        <v>#VALUE!</v>
      </c>
      <c r="G413" s="259" t="e">
        <f t="shared" si="131"/>
        <v>#VALUE!</v>
      </c>
      <c r="H413" s="259" t="e">
        <f t="shared" si="131"/>
        <v>#VALUE!</v>
      </c>
      <c r="I413" s="259" t="e">
        <f t="shared" si="131"/>
        <v>#VALUE!</v>
      </c>
      <c r="J413" s="259" t="e">
        <f t="shared" si="131"/>
        <v>#VALUE!</v>
      </c>
      <c r="K413" s="259" t="e">
        <f t="shared" si="131"/>
        <v>#VALUE!</v>
      </c>
      <c r="L413" s="259" t="e">
        <f t="shared" si="131"/>
        <v>#VALUE!</v>
      </c>
      <c r="M413" s="259" t="e">
        <f t="shared" si="131"/>
        <v>#VALUE!</v>
      </c>
      <c r="N413" s="259" t="e">
        <f>M413+M414</f>
        <v>#VALUE!</v>
      </c>
      <c r="O413" s="259" t="e">
        <f t="shared" si="131"/>
        <v>#VALUE!</v>
      </c>
      <c r="P413" s="259" t="e">
        <f t="shared" si="131"/>
        <v>#VALUE!</v>
      </c>
      <c r="Q413" s="105" t="e">
        <f t="shared" si="131"/>
        <v>#VALUE!</v>
      </c>
      <c r="R413" s="260" t="e">
        <f t="shared" si="131"/>
        <v>#VALUE!</v>
      </c>
      <c r="S413" s="259" t="e">
        <f t="shared" si="131"/>
        <v>#VALUE!</v>
      </c>
      <c r="T413" s="259" t="e">
        <f t="shared" si="131"/>
        <v>#VALUE!</v>
      </c>
      <c r="U413" s="259" t="e">
        <f t="shared" si="131"/>
        <v>#VALUE!</v>
      </c>
      <c r="V413" s="261" t="e">
        <f t="shared" si="131"/>
        <v>#VALUE!</v>
      </c>
      <c r="W413" s="259" t="e">
        <f t="shared" si="131"/>
        <v>#VALUE!</v>
      </c>
      <c r="X413" s="259" t="e">
        <f t="shared" si="131"/>
        <v>#VALUE!</v>
      </c>
      <c r="Y413" s="259" t="e">
        <f t="shared" si="131"/>
        <v>#VALUE!</v>
      </c>
      <c r="Z413" s="259" t="e">
        <f t="shared" si="131"/>
        <v>#VALUE!</v>
      </c>
      <c r="AA413" s="262" t="e">
        <f t="shared" si="131"/>
        <v>#VALUE!</v>
      </c>
    </row>
    <row r="414" spans="1:27">
      <c r="A414" s="209" t="s">
        <v>248</v>
      </c>
      <c r="B414" s="139"/>
      <c r="C414" s="259" t="e">
        <f>C413*$B$388</f>
        <v>#VALUE!</v>
      </c>
      <c r="D414" s="259" t="e">
        <f>D413*$B$388</f>
        <v>#VALUE!</v>
      </c>
      <c r="E414" s="259" t="e">
        <f t="shared" ref="E414:AA414" si="132">E413*$B$388</f>
        <v>#VALUE!</v>
      </c>
      <c r="F414" s="259" t="e">
        <f t="shared" si="132"/>
        <v>#VALUE!</v>
      </c>
      <c r="G414" s="259" t="e">
        <f t="shared" si="132"/>
        <v>#VALUE!</v>
      </c>
      <c r="H414" s="259" t="e">
        <f t="shared" si="132"/>
        <v>#VALUE!</v>
      </c>
      <c r="I414" s="259" t="e">
        <f t="shared" si="132"/>
        <v>#VALUE!</v>
      </c>
      <c r="J414" s="259" t="e">
        <f t="shared" si="132"/>
        <v>#VALUE!</v>
      </c>
      <c r="K414" s="259" t="e">
        <f t="shared" si="132"/>
        <v>#VALUE!</v>
      </c>
      <c r="L414" s="259" t="e">
        <f t="shared" si="132"/>
        <v>#VALUE!</v>
      </c>
      <c r="M414" s="259" t="e">
        <f t="shared" si="132"/>
        <v>#VALUE!</v>
      </c>
      <c r="N414" s="259" t="e">
        <f t="shared" si="132"/>
        <v>#VALUE!</v>
      </c>
      <c r="O414" s="259" t="e">
        <f t="shared" si="132"/>
        <v>#VALUE!</v>
      </c>
      <c r="P414" s="259" t="e">
        <f t="shared" si="132"/>
        <v>#VALUE!</v>
      </c>
      <c r="Q414" s="105" t="e">
        <f t="shared" si="132"/>
        <v>#VALUE!</v>
      </c>
      <c r="R414" s="260" t="e">
        <f t="shared" si="132"/>
        <v>#VALUE!</v>
      </c>
      <c r="S414" s="259" t="e">
        <f t="shared" si="132"/>
        <v>#VALUE!</v>
      </c>
      <c r="T414" s="259" t="e">
        <f t="shared" si="132"/>
        <v>#VALUE!</v>
      </c>
      <c r="U414" s="259" t="e">
        <f t="shared" si="132"/>
        <v>#VALUE!</v>
      </c>
      <c r="V414" s="261" t="e">
        <f t="shared" si="132"/>
        <v>#VALUE!</v>
      </c>
      <c r="W414" s="259" t="e">
        <f t="shared" si="132"/>
        <v>#VALUE!</v>
      </c>
      <c r="X414" s="259" t="e">
        <f t="shared" si="132"/>
        <v>#VALUE!</v>
      </c>
      <c r="Y414" s="259" t="e">
        <f t="shared" si="132"/>
        <v>#VALUE!</v>
      </c>
      <c r="Z414" s="259" t="e">
        <f t="shared" si="132"/>
        <v>#VALUE!</v>
      </c>
      <c r="AA414" s="262" t="e">
        <f t="shared" si="132"/>
        <v>#VALUE!</v>
      </c>
    </row>
    <row r="415" spans="1:27" ht="16">
      <c r="A415" s="180" t="s">
        <v>24</v>
      </c>
      <c r="B415" s="194">
        <f>B413*(($B$389*(1/$B$392))+IF(ISERROR($B$396),0,($B$393*(1/$B$396))))</f>
        <v>0</v>
      </c>
      <c r="C415" s="194" t="e">
        <f>C413*(($B$389*(1/$B$392))+IF(ISERROR($B$396),0,($B$393*(1/$B$396))))</f>
        <v>#VALUE!</v>
      </c>
      <c r="D415" s="194" t="e">
        <f t="shared" ref="D415:AA415" si="133">D413*(($B$389*(1/$B$392))+IF(ISERROR($B$396),0,($B$393*(1/$B$396))))</f>
        <v>#VALUE!</v>
      </c>
      <c r="E415" s="194" t="e">
        <f t="shared" si="133"/>
        <v>#VALUE!</v>
      </c>
      <c r="F415" s="194" t="e">
        <f t="shared" si="133"/>
        <v>#VALUE!</v>
      </c>
      <c r="G415" s="194" t="e">
        <f t="shared" si="133"/>
        <v>#VALUE!</v>
      </c>
      <c r="H415" s="194" t="e">
        <f t="shared" si="133"/>
        <v>#VALUE!</v>
      </c>
      <c r="I415" s="194" t="e">
        <f t="shared" si="133"/>
        <v>#VALUE!</v>
      </c>
      <c r="J415" s="194" t="e">
        <f t="shared" si="133"/>
        <v>#VALUE!</v>
      </c>
      <c r="K415" s="194" t="e">
        <f t="shared" si="133"/>
        <v>#VALUE!</v>
      </c>
      <c r="L415" s="194" t="e">
        <f t="shared" si="133"/>
        <v>#VALUE!</v>
      </c>
      <c r="M415" s="194" t="e">
        <f t="shared" si="133"/>
        <v>#VALUE!</v>
      </c>
      <c r="N415" s="194" t="e">
        <f t="shared" si="133"/>
        <v>#VALUE!</v>
      </c>
      <c r="O415" s="194" t="e">
        <f t="shared" si="133"/>
        <v>#VALUE!</v>
      </c>
      <c r="P415" s="194" t="e">
        <f t="shared" si="133"/>
        <v>#VALUE!</v>
      </c>
      <c r="Q415" s="195" t="e">
        <f t="shared" si="133"/>
        <v>#VALUE!</v>
      </c>
      <c r="R415" s="196" t="e">
        <f t="shared" si="133"/>
        <v>#VALUE!</v>
      </c>
      <c r="S415" s="194" t="e">
        <f t="shared" si="133"/>
        <v>#VALUE!</v>
      </c>
      <c r="T415" s="194" t="e">
        <f t="shared" si="133"/>
        <v>#VALUE!</v>
      </c>
      <c r="U415" s="194" t="e">
        <f t="shared" si="133"/>
        <v>#VALUE!</v>
      </c>
      <c r="V415" s="195" t="e">
        <f t="shared" si="133"/>
        <v>#VALUE!</v>
      </c>
      <c r="W415" s="194" t="e">
        <f t="shared" si="133"/>
        <v>#VALUE!</v>
      </c>
      <c r="X415" s="194" t="e">
        <f t="shared" si="133"/>
        <v>#VALUE!</v>
      </c>
      <c r="Y415" s="194" t="e">
        <f t="shared" si="133"/>
        <v>#VALUE!</v>
      </c>
      <c r="Z415" s="194" t="e">
        <f t="shared" si="133"/>
        <v>#VALUE!</v>
      </c>
      <c r="AA415" s="195" t="e">
        <f t="shared" si="133"/>
        <v>#VALUE!</v>
      </c>
    </row>
    <row r="416" spans="1:27" s="24" customFormat="1" ht="16" thickBot="1">
      <c r="A416" s="197" t="s">
        <v>89</v>
      </c>
      <c r="B416" s="288">
        <f>B415*$B$4</f>
        <v>0</v>
      </c>
      <c r="C416" s="277" t="e">
        <f>C415*$B$4</f>
        <v>#VALUE!</v>
      </c>
      <c r="D416" s="277" t="e">
        <f>D415*$B$4</f>
        <v>#VALUE!</v>
      </c>
      <c r="E416" s="277" t="e">
        <f>E415*$B$4</f>
        <v>#VALUE!</v>
      </c>
      <c r="F416" s="277" t="e">
        <f t="shared" ref="F416:V416" si="134">F415*$B$4</f>
        <v>#VALUE!</v>
      </c>
      <c r="G416" s="277" t="e">
        <f t="shared" si="134"/>
        <v>#VALUE!</v>
      </c>
      <c r="H416" s="277" t="e">
        <f t="shared" si="134"/>
        <v>#VALUE!</v>
      </c>
      <c r="I416" s="277" t="e">
        <f t="shared" si="134"/>
        <v>#VALUE!</v>
      </c>
      <c r="J416" s="277" t="e">
        <f t="shared" si="134"/>
        <v>#VALUE!</v>
      </c>
      <c r="K416" s="277" t="e">
        <f t="shared" si="134"/>
        <v>#VALUE!</v>
      </c>
      <c r="L416" s="277" t="e">
        <f t="shared" si="134"/>
        <v>#VALUE!</v>
      </c>
      <c r="M416" s="277" t="e">
        <f t="shared" si="134"/>
        <v>#VALUE!</v>
      </c>
      <c r="N416" s="277" t="e">
        <f t="shared" si="134"/>
        <v>#VALUE!</v>
      </c>
      <c r="O416" s="277" t="e">
        <f t="shared" si="134"/>
        <v>#VALUE!</v>
      </c>
      <c r="P416" s="277" t="e">
        <f t="shared" si="134"/>
        <v>#VALUE!</v>
      </c>
      <c r="Q416" s="278" t="e">
        <f t="shared" si="134"/>
        <v>#VALUE!</v>
      </c>
      <c r="R416" s="279" t="e">
        <f t="shared" si="134"/>
        <v>#VALUE!</v>
      </c>
      <c r="S416" s="277" t="e">
        <f t="shared" si="134"/>
        <v>#VALUE!</v>
      </c>
      <c r="T416" s="277" t="e">
        <f t="shared" si="134"/>
        <v>#VALUE!</v>
      </c>
      <c r="U416" s="277" t="e">
        <f t="shared" si="134"/>
        <v>#VALUE!</v>
      </c>
      <c r="V416" s="280" t="e">
        <f t="shared" si="134"/>
        <v>#VALUE!</v>
      </c>
      <c r="W416" s="277" t="e">
        <f>W415*$B$4</f>
        <v>#VALUE!</v>
      </c>
      <c r="X416" s="277" t="e">
        <f>X415*$B$4</f>
        <v>#VALUE!</v>
      </c>
      <c r="Y416" s="277" t="e">
        <f>Y415*$B$4</f>
        <v>#VALUE!</v>
      </c>
      <c r="Z416" s="277" t="e">
        <f>Z415*$B$4</f>
        <v>#VALUE!</v>
      </c>
      <c r="AA416" s="281" t="e">
        <f>AA415*$B$4</f>
        <v>#VALUE!</v>
      </c>
    </row>
    <row r="417" spans="1:27" s="24" customFormat="1">
      <c r="A417" s="167"/>
      <c r="B417" s="168"/>
      <c r="C417" s="169"/>
      <c r="D417" s="169"/>
      <c r="E417" s="169"/>
      <c r="F417" s="169"/>
      <c r="G417" s="169"/>
      <c r="H417" s="169"/>
      <c r="I417" s="169"/>
      <c r="J417" s="169"/>
      <c r="K417" s="169"/>
      <c r="L417" s="169"/>
      <c r="M417" s="169"/>
      <c r="N417" s="169"/>
      <c r="O417" s="169"/>
      <c r="P417" s="169"/>
      <c r="Q417" s="170"/>
      <c r="R417" s="171"/>
      <c r="S417" s="169"/>
      <c r="T417" s="169"/>
      <c r="U417" s="169"/>
      <c r="V417" s="172"/>
      <c r="W417" s="169"/>
      <c r="X417" s="169"/>
      <c r="Y417" s="169"/>
      <c r="Z417" s="169"/>
      <c r="AA417" s="173"/>
    </row>
    <row r="418" spans="1:27" ht="16">
      <c r="A418" s="6" t="s">
        <v>34</v>
      </c>
      <c r="B418" s="291" t="e">
        <f t="shared" ref="B418:G418" si="135">B406+B410+B415</f>
        <v>#VALUE!</v>
      </c>
      <c r="C418" s="118" t="e">
        <f t="shared" si="135"/>
        <v>#VALUE!</v>
      </c>
      <c r="D418" s="118" t="e">
        <f t="shared" si="135"/>
        <v>#VALUE!</v>
      </c>
      <c r="E418" s="118" t="e">
        <f t="shared" si="135"/>
        <v>#VALUE!</v>
      </c>
      <c r="F418" s="118" t="e">
        <f t="shared" si="135"/>
        <v>#VALUE!</v>
      </c>
      <c r="G418" s="118" t="e">
        <f t="shared" si="135"/>
        <v>#VALUE!</v>
      </c>
      <c r="H418" s="118" t="e">
        <f t="shared" ref="H418:Q418" si="136">H406+H410+H415</f>
        <v>#VALUE!</v>
      </c>
      <c r="I418" s="118" t="e">
        <f t="shared" si="136"/>
        <v>#VALUE!</v>
      </c>
      <c r="J418" s="118" t="e">
        <f t="shared" si="136"/>
        <v>#VALUE!</v>
      </c>
      <c r="K418" s="118" t="e">
        <f t="shared" si="136"/>
        <v>#VALUE!</v>
      </c>
      <c r="L418" s="118" t="e">
        <f t="shared" si="136"/>
        <v>#VALUE!</v>
      </c>
      <c r="M418" s="118" t="e">
        <f t="shared" si="136"/>
        <v>#VALUE!</v>
      </c>
      <c r="N418" s="118" t="e">
        <f t="shared" si="136"/>
        <v>#VALUE!</v>
      </c>
      <c r="O418" s="118" t="e">
        <f t="shared" si="136"/>
        <v>#VALUE!</v>
      </c>
      <c r="P418" s="118" t="e">
        <f t="shared" si="136"/>
        <v>#VALUE!</v>
      </c>
      <c r="Q418" s="202" t="e">
        <f t="shared" si="136"/>
        <v>#VALUE!</v>
      </c>
      <c r="R418" s="136" t="e">
        <f t="shared" ref="R418:AA418" si="137">R406+R410+R415</f>
        <v>#VALUE!</v>
      </c>
      <c r="S418" s="118" t="e">
        <f t="shared" si="137"/>
        <v>#VALUE!</v>
      </c>
      <c r="T418" s="118" t="e">
        <f t="shared" si="137"/>
        <v>#VALUE!</v>
      </c>
      <c r="U418" s="118" t="e">
        <f t="shared" si="137"/>
        <v>#VALUE!</v>
      </c>
      <c r="V418" s="203" t="e">
        <f t="shared" si="137"/>
        <v>#VALUE!</v>
      </c>
      <c r="W418" s="118" t="e">
        <f t="shared" si="137"/>
        <v>#VALUE!</v>
      </c>
      <c r="X418" s="118" t="e">
        <f t="shared" si="137"/>
        <v>#VALUE!</v>
      </c>
      <c r="Y418" s="118" t="e">
        <f t="shared" si="137"/>
        <v>#VALUE!</v>
      </c>
      <c r="Z418" s="118" t="e">
        <f t="shared" si="137"/>
        <v>#VALUE!</v>
      </c>
      <c r="AA418" s="204" t="e">
        <f t="shared" si="137"/>
        <v>#VALUE!</v>
      </c>
    </row>
    <row r="419" spans="1:27" ht="16" thickBot="1">
      <c r="A419" s="135" t="s">
        <v>35</v>
      </c>
      <c r="B419" s="243" t="e">
        <f>($B$4*B418)</f>
        <v>#VALUE!</v>
      </c>
      <c r="C419" s="243" t="e">
        <f>$B$4*C418</f>
        <v>#VALUE!</v>
      </c>
      <c r="D419" s="243" t="e">
        <f>$B$4*D418</f>
        <v>#VALUE!</v>
      </c>
      <c r="E419" s="243" t="e">
        <f>$B$4*E418</f>
        <v>#VALUE!</v>
      </c>
      <c r="F419" s="243" t="e">
        <f t="shared" ref="F419:V419" si="138">$B$4*F418</f>
        <v>#VALUE!</v>
      </c>
      <c r="G419" s="243" t="e">
        <f t="shared" si="138"/>
        <v>#VALUE!</v>
      </c>
      <c r="H419" s="243" t="e">
        <f t="shared" si="138"/>
        <v>#VALUE!</v>
      </c>
      <c r="I419" s="243" t="e">
        <f t="shared" si="138"/>
        <v>#VALUE!</v>
      </c>
      <c r="J419" s="243" t="e">
        <f t="shared" si="138"/>
        <v>#VALUE!</v>
      </c>
      <c r="K419" s="243" t="e">
        <f t="shared" si="138"/>
        <v>#VALUE!</v>
      </c>
      <c r="L419" s="243" t="e">
        <f t="shared" si="138"/>
        <v>#VALUE!</v>
      </c>
      <c r="M419" s="243" t="e">
        <f t="shared" si="138"/>
        <v>#VALUE!</v>
      </c>
      <c r="N419" s="243" t="e">
        <f t="shared" si="138"/>
        <v>#VALUE!</v>
      </c>
      <c r="O419" s="243" t="e">
        <f t="shared" si="138"/>
        <v>#VALUE!</v>
      </c>
      <c r="P419" s="243" t="e">
        <f t="shared" si="138"/>
        <v>#VALUE!</v>
      </c>
      <c r="Q419" s="250" t="e">
        <f t="shared" si="138"/>
        <v>#VALUE!</v>
      </c>
      <c r="R419" s="251" t="e">
        <f t="shared" si="138"/>
        <v>#VALUE!</v>
      </c>
      <c r="S419" s="243" t="e">
        <f t="shared" si="138"/>
        <v>#VALUE!</v>
      </c>
      <c r="T419" s="243" t="e">
        <f t="shared" si="138"/>
        <v>#VALUE!</v>
      </c>
      <c r="U419" s="243" t="e">
        <f t="shared" si="138"/>
        <v>#VALUE!</v>
      </c>
      <c r="V419" s="265" t="e">
        <f t="shared" si="138"/>
        <v>#VALUE!</v>
      </c>
      <c r="W419" s="243" t="e">
        <f>$B$4*W418</f>
        <v>#VALUE!</v>
      </c>
      <c r="X419" s="243" t="e">
        <f>$B$4*X418</f>
        <v>#VALUE!</v>
      </c>
      <c r="Y419" s="243" t="e">
        <f>$B$4*Y418</f>
        <v>#VALUE!</v>
      </c>
      <c r="Z419" s="243" t="e">
        <f>$B$4*Z418</f>
        <v>#VALUE!</v>
      </c>
      <c r="AA419" s="32" t="e">
        <f>$B$4*AA418</f>
        <v>#VALUE!</v>
      </c>
    </row>
    <row r="420" spans="1:27" ht="17" thickTop="1" thickBot="1">
      <c r="A420" s="236"/>
      <c r="B420" s="28" t="s">
        <v>98</v>
      </c>
      <c r="C420" s="29" t="s">
        <v>91</v>
      </c>
      <c r="D420" s="30" t="s">
        <v>92</v>
      </c>
      <c r="E420" s="205"/>
      <c r="F420" s="205"/>
      <c r="G420" s="205"/>
      <c r="H420" s="205"/>
      <c r="I420" s="205"/>
      <c r="J420" s="205"/>
      <c r="K420" s="205"/>
      <c r="L420" s="205"/>
      <c r="M420" s="205"/>
      <c r="N420" s="263"/>
      <c r="O420" s="263"/>
      <c r="P420" s="263"/>
      <c r="Q420" s="263"/>
      <c r="R420" s="263"/>
      <c r="S420" s="263"/>
      <c r="T420" s="263"/>
      <c r="U420" s="263"/>
      <c r="V420" s="263"/>
      <c r="W420" s="263"/>
      <c r="X420" s="263"/>
      <c r="Y420" s="263"/>
      <c r="Z420" s="263"/>
      <c r="AA420" s="263"/>
    </row>
    <row r="421" spans="1:27" ht="16">
      <c r="A421" s="6" t="s">
        <v>36</v>
      </c>
      <c r="B421" s="206" t="e">
        <f>NPV($B$5,C418,D418:Q418)+B418-(Q405/((1+B399)^15))</f>
        <v>#VALUE!</v>
      </c>
      <c r="C421" s="207" t="e">
        <f>NPV($B$5,C418,D418:V418)+B418-(V405/((1+B399)^20))</f>
        <v>#VALUE!</v>
      </c>
      <c r="D421" s="31" t="e">
        <f>NPV($B$5,C418,D418:AA418)+B418-(AA405/((1+B399)^25))</f>
        <v>#VALUE!</v>
      </c>
      <c r="E421" s="208"/>
      <c r="F421" s="5"/>
      <c r="G421" s="5"/>
      <c r="H421" s="5"/>
      <c r="I421" s="5"/>
      <c r="J421" s="5"/>
      <c r="K421" s="5"/>
      <c r="L421" s="5"/>
      <c r="M421" s="5"/>
      <c r="N421" s="5"/>
      <c r="O421" s="5"/>
      <c r="P421" s="5"/>
      <c r="Q421" s="5"/>
      <c r="R421" s="5"/>
      <c r="S421" s="5"/>
      <c r="T421" s="5"/>
      <c r="U421" s="5"/>
      <c r="V421" s="5"/>
      <c r="W421" s="5"/>
      <c r="X421" s="4"/>
      <c r="Y421" s="4"/>
      <c r="Z421" s="4"/>
      <c r="AA421" s="4"/>
    </row>
    <row r="422" spans="1:27">
      <c r="A422" s="264" t="s">
        <v>37</v>
      </c>
      <c r="B422" s="210" t="e">
        <f>(NPV(B399,C419,D419:Q419))+B419-(Q405*$B$4/(1+B399)^15)</f>
        <v>#VALUE!</v>
      </c>
      <c r="C422" s="211" t="e">
        <f>(NPV(B399,C419,D419:V419))+B419-(V405*$B$4/(1+B399)^20)</f>
        <v>#VALUE!</v>
      </c>
      <c r="D422" s="212" t="e">
        <f>(NPV(B399,C419,D419:AA419))+B419-(AA405*$B$4/(1+B399)^25)</f>
        <v>#VALUE!</v>
      </c>
      <c r="E422" s="213"/>
      <c r="F422" s="213"/>
      <c r="G422" s="213"/>
      <c r="H422" s="214"/>
      <c r="I422" s="23"/>
      <c r="J422" s="23"/>
      <c r="K422" s="23"/>
      <c r="L422" s="23"/>
      <c r="M422" s="23"/>
      <c r="N422" s="23"/>
      <c r="O422" s="23"/>
      <c r="P422" s="23"/>
      <c r="Q422" s="23"/>
      <c r="R422" s="23"/>
      <c r="S422" s="23"/>
      <c r="T422" s="23"/>
      <c r="U422" s="23"/>
      <c r="V422" s="23"/>
      <c r="W422" s="23"/>
      <c r="X422" s="4"/>
      <c r="Y422" s="4"/>
      <c r="Z422" s="4"/>
      <c r="AA422" s="4"/>
    </row>
    <row r="423" spans="1:27">
      <c r="A423" s="209" t="s">
        <v>85</v>
      </c>
      <c r="B423" s="210" t="e">
        <f>NPV(B399,C407,D407:Q407)+B407-(Q405*$B$4/(1+B399)^15)</f>
        <v>#VALUE!</v>
      </c>
      <c r="C423" s="211" t="e">
        <f>NPV(B399,C407,D407:V407)+B407-(V405*$B$4/(1+B399)^20)</f>
        <v>#VALUE!</v>
      </c>
      <c r="D423" s="212" t="e">
        <f>NPV(B399,C407,D407:AA407)+B407-(AA405*$B$4/(1+B399)^25)</f>
        <v>#VALUE!</v>
      </c>
      <c r="E423" s="213"/>
      <c r="F423" s="213"/>
      <c r="G423" s="213"/>
      <c r="H423" s="214"/>
      <c r="I423" s="23"/>
      <c r="J423" s="23"/>
      <c r="K423" s="23"/>
      <c r="L423" s="23"/>
      <c r="M423" s="23"/>
      <c r="N423" s="23"/>
      <c r="O423" s="23"/>
      <c r="P423" s="23"/>
      <c r="Q423" s="23"/>
      <c r="R423" s="23"/>
      <c r="S423" s="23"/>
      <c r="T423" s="23"/>
      <c r="U423" s="23"/>
      <c r="V423" s="23"/>
      <c r="W423" s="23"/>
      <c r="X423" s="4"/>
      <c r="Y423" s="4"/>
      <c r="Z423" s="4"/>
      <c r="AA423" s="4"/>
    </row>
    <row r="424" spans="1:27">
      <c r="A424" s="209" t="s">
        <v>86</v>
      </c>
      <c r="B424" s="210" t="e">
        <f>NPV(B399,C411,D411:Q411)+B411</f>
        <v>#VALUE!</v>
      </c>
      <c r="C424" s="211" t="e">
        <f>NPV(B399,C411,D411:V411)+B411</f>
        <v>#VALUE!</v>
      </c>
      <c r="D424" s="212" t="e">
        <f>NPV(B399,C411,D411:AA411)+B411</f>
        <v>#VALUE!</v>
      </c>
      <c r="E424" s="213"/>
      <c r="F424" s="213"/>
      <c r="G424" s="213"/>
      <c r="H424" s="214"/>
      <c r="I424" s="23"/>
      <c r="J424" s="23"/>
      <c r="K424" s="23"/>
      <c r="L424" s="23"/>
      <c r="M424" s="23"/>
      <c r="N424" s="23"/>
      <c r="O424" s="23"/>
      <c r="P424" s="23"/>
      <c r="Q424" s="23"/>
      <c r="R424" s="23"/>
      <c r="S424" s="23"/>
      <c r="T424" s="23"/>
      <c r="U424" s="23"/>
      <c r="V424" s="23"/>
      <c r="W424" s="23"/>
      <c r="X424" s="4"/>
      <c r="Y424" s="4"/>
      <c r="Z424" s="4"/>
      <c r="AA424" s="4"/>
    </row>
    <row r="425" spans="1:27">
      <c r="A425" s="209" t="s">
        <v>90</v>
      </c>
      <c r="B425" s="210" t="e">
        <f>NPV(B399,C416,D416:Q416)+B416</f>
        <v>#VALUE!</v>
      </c>
      <c r="C425" s="211" t="e">
        <f>NPV(B399,C416,D416:V416)+B416</f>
        <v>#VALUE!</v>
      </c>
      <c r="D425" s="212" t="e">
        <f>NPV(B399,C416,D416:AA416)+B416</f>
        <v>#VALUE!</v>
      </c>
      <c r="E425" s="213"/>
      <c r="F425" s="213"/>
      <c r="G425" s="213"/>
      <c r="H425" s="214"/>
      <c r="I425" s="23"/>
      <c r="J425" s="23"/>
      <c r="K425" s="23"/>
      <c r="L425" s="23"/>
      <c r="M425" s="23"/>
      <c r="N425" s="23"/>
      <c r="O425" s="23"/>
      <c r="P425" s="23"/>
      <c r="Q425" s="23"/>
      <c r="R425" s="23"/>
      <c r="S425" s="23"/>
      <c r="T425" s="23"/>
      <c r="U425" s="23"/>
      <c r="V425" s="23"/>
      <c r="W425" s="23"/>
      <c r="X425" s="4"/>
      <c r="Y425" s="4"/>
      <c r="Z425" s="4"/>
      <c r="AA425" s="4"/>
    </row>
    <row r="426" spans="1:27" s="1" customFormat="1" ht="16" thickBot="1">
      <c r="A426" s="215" t="s">
        <v>303</v>
      </c>
      <c r="B426" s="216" t="e">
        <f>((Q405-Q404)/(1+B399)^15)*$B$4</f>
        <v>#VALUE!</v>
      </c>
      <c r="C426" s="217" t="e">
        <f>((V405-V404)/(1+B399)^20)*$B$4</f>
        <v>#VALUE!</v>
      </c>
      <c r="D426" s="218" t="e">
        <f>(AA405/(1+B399)^25)*$B$4</f>
        <v>#VALUE!</v>
      </c>
      <c r="E426" s="219"/>
      <c r="F426" s="219"/>
      <c r="G426" s="219"/>
      <c r="H426" s="23"/>
      <c r="I426" s="23"/>
      <c r="J426" s="23"/>
      <c r="K426" s="23"/>
      <c r="L426" s="23"/>
      <c r="M426" s="23"/>
      <c r="N426" s="23"/>
      <c r="O426" s="23"/>
      <c r="P426" s="23"/>
      <c r="Q426" s="23"/>
      <c r="R426" s="23"/>
      <c r="S426" s="23"/>
      <c r="T426" s="23"/>
      <c r="U426" s="23"/>
      <c r="V426" s="23"/>
      <c r="W426" s="23"/>
      <c r="X426" s="3"/>
      <c r="Y426" s="3"/>
      <c r="Z426" s="3"/>
      <c r="AA426" s="3"/>
    </row>
    <row r="427" spans="1:27" ht="16" thickTop="1">
      <c r="A427" s="4"/>
      <c r="B427" s="480"/>
      <c r="C427" s="480"/>
      <c r="D427" s="480"/>
      <c r="E427" s="5"/>
      <c r="F427" s="5"/>
      <c r="G427" s="5"/>
      <c r="H427" s="5"/>
      <c r="I427" s="5"/>
      <c r="J427" s="5"/>
      <c r="K427" s="5"/>
      <c r="L427" s="5"/>
      <c r="M427" s="5"/>
      <c r="N427" s="5"/>
      <c r="O427" s="5"/>
      <c r="P427" s="5"/>
      <c r="Q427" s="5"/>
      <c r="R427" s="5"/>
      <c r="S427" s="5"/>
      <c r="T427" s="5"/>
      <c r="U427" s="5"/>
      <c r="V427" s="4"/>
      <c r="W427" s="4"/>
      <c r="X427" s="4"/>
      <c r="Y427" s="4"/>
      <c r="Z427" s="4"/>
      <c r="AA427" s="4"/>
    </row>
    <row r="428" spans="1:27" ht="16" thickBot="1">
      <c r="A428" s="4"/>
      <c r="B428" s="481"/>
      <c r="C428" s="13"/>
      <c r="D428" s="486"/>
      <c r="E428" s="5"/>
      <c r="F428" s="5"/>
      <c r="G428" s="5"/>
      <c r="H428" s="5"/>
      <c r="I428" s="5"/>
      <c r="J428" s="5"/>
      <c r="K428" s="5"/>
      <c r="L428" s="5"/>
      <c r="M428" s="5"/>
      <c r="N428" s="5"/>
      <c r="O428" s="5"/>
      <c r="P428" s="5"/>
      <c r="Q428" s="5"/>
      <c r="R428" s="5"/>
      <c r="S428" s="5"/>
      <c r="T428" s="5"/>
      <c r="U428" s="5"/>
      <c r="V428" s="5"/>
      <c r="W428" s="4"/>
      <c r="X428" s="4"/>
      <c r="Y428" s="4"/>
      <c r="Z428" s="4"/>
      <c r="AA428" s="4"/>
    </row>
    <row r="429" spans="1:27" ht="35" customHeight="1" thickTop="1" thickBot="1">
      <c r="A429" s="1014" t="s">
        <v>353</v>
      </c>
      <c r="B429" s="1015"/>
      <c r="C429" s="220"/>
      <c r="D429" s="149"/>
      <c r="E429" s="149"/>
      <c r="F429" s="149"/>
      <c r="G429" s="149"/>
      <c r="H429" s="149"/>
      <c r="I429" s="149"/>
      <c r="J429" s="149"/>
      <c r="K429" s="149"/>
      <c r="L429" s="149"/>
      <c r="M429" s="149"/>
      <c r="N429" s="149"/>
      <c r="O429" s="149"/>
      <c r="P429" s="149"/>
      <c r="Q429" s="149"/>
      <c r="R429" s="149"/>
      <c r="S429" s="149"/>
      <c r="T429" s="149"/>
      <c r="U429" s="149"/>
      <c r="V429" s="149"/>
      <c r="W429" s="4"/>
      <c r="X429" s="4"/>
      <c r="Y429" s="4"/>
      <c r="Z429" s="4"/>
      <c r="AA429" s="4"/>
    </row>
    <row r="430" spans="1:27">
      <c r="A430" s="150" t="s">
        <v>83</v>
      </c>
      <c r="B430" s="657" t="str">
        <f>IF(Inputs!E33="No","",Inputs!$D$16)</f>
        <v/>
      </c>
      <c r="C430" s="152" t="s">
        <v>193</v>
      </c>
      <c r="D430" s="255"/>
      <c r="E430" s="149"/>
      <c r="F430" s="149"/>
      <c r="G430" s="149"/>
      <c r="H430" s="149"/>
      <c r="I430" s="149"/>
      <c r="J430" s="149"/>
      <c r="K430" s="149"/>
      <c r="L430" s="149"/>
      <c r="M430" s="149"/>
      <c r="N430" s="149"/>
      <c r="O430" s="149"/>
      <c r="P430" s="149"/>
      <c r="Q430" s="149"/>
      <c r="R430" s="149"/>
      <c r="S430" s="149"/>
      <c r="T430" s="149"/>
      <c r="U430" s="149"/>
      <c r="V430" s="149"/>
      <c r="W430" s="4"/>
      <c r="X430" s="4"/>
      <c r="Y430" s="4"/>
      <c r="Z430" s="4"/>
      <c r="AA430" s="4"/>
    </row>
    <row r="431" spans="1:27">
      <c r="A431" s="150" t="s">
        <v>221</v>
      </c>
      <c r="B431" s="151">
        <f>'Regional Fuel Costs'!C49</f>
        <v>5.5999999999999999E-3</v>
      </c>
      <c r="C431" s="152" t="s">
        <v>193</v>
      </c>
      <c r="D431" s="255"/>
      <c r="E431" s="149"/>
      <c r="F431" s="149"/>
      <c r="G431" s="149"/>
      <c r="H431" s="149"/>
      <c r="I431" s="149"/>
      <c r="J431" s="149"/>
      <c r="K431" s="149"/>
      <c r="L431" s="149"/>
      <c r="M431" s="149"/>
      <c r="N431" s="149"/>
      <c r="O431" s="149"/>
      <c r="P431" s="149"/>
      <c r="Q431" s="149"/>
      <c r="R431" s="149"/>
      <c r="S431" s="149"/>
      <c r="T431" s="149"/>
      <c r="U431" s="149"/>
      <c r="V431" s="149"/>
      <c r="W431" s="4"/>
      <c r="X431" s="4"/>
      <c r="Y431" s="4"/>
      <c r="Z431" s="4"/>
      <c r="AA431" s="4"/>
    </row>
    <row r="432" spans="1:27" ht="16">
      <c r="A432" s="150" t="s">
        <v>412</v>
      </c>
      <c r="B432" s="658">
        <f>Inputs!$D$11</f>
        <v>12</v>
      </c>
      <c r="C432" s="154" t="s">
        <v>290</v>
      </c>
      <c r="D432" s="255"/>
      <c r="E432" s="149"/>
      <c r="F432" s="149"/>
      <c r="G432" s="149"/>
      <c r="H432" s="149"/>
      <c r="I432" s="149"/>
      <c r="J432" s="149"/>
      <c r="K432" s="149"/>
      <c r="L432" s="149"/>
      <c r="M432" s="149"/>
      <c r="N432" s="149"/>
      <c r="O432" s="149"/>
      <c r="P432" s="149"/>
      <c r="Q432" s="149"/>
      <c r="R432" s="149"/>
      <c r="S432" s="149"/>
      <c r="T432" s="149"/>
      <c r="U432" s="149"/>
      <c r="V432" s="149"/>
      <c r="W432" s="4"/>
      <c r="X432" s="4"/>
      <c r="Y432" s="4"/>
      <c r="Z432" s="4"/>
      <c r="AA432" s="4"/>
    </row>
    <row r="433" spans="1:27">
      <c r="A433" s="150" t="s">
        <v>188</v>
      </c>
      <c r="B433" s="658">
        <f>Inputs!K33</f>
        <v>3.5</v>
      </c>
      <c r="C433" s="155" t="s">
        <v>196</v>
      </c>
      <c r="D433" s="255"/>
      <c r="E433" s="149"/>
      <c r="F433" s="149"/>
      <c r="G433" s="149"/>
      <c r="H433" s="149"/>
      <c r="I433" s="149"/>
      <c r="J433" s="149"/>
      <c r="K433" s="149"/>
      <c r="L433" s="149"/>
      <c r="M433" s="149"/>
      <c r="N433" s="149"/>
      <c r="O433" s="149"/>
      <c r="P433" s="149"/>
      <c r="Q433" s="149"/>
      <c r="R433" s="149"/>
      <c r="S433" s="149"/>
      <c r="T433" s="149"/>
      <c r="U433" s="149"/>
      <c r="V433" s="149"/>
      <c r="W433" s="4"/>
      <c r="X433" s="4"/>
      <c r="Y433" s="4"/>
      <c r="Z433" s="4"/>
      <c r="AA433" s="4"/>
    </row>
    <row r="434" spans="1:27">
      <c r="A434" s="150" t="s">
        <v>187</v>
      </c>
      <c r="B434" s="156">
        <f>'System Efficiencies'!C8</f>
        <v>0.9</v>
      </c>
      <c r="C434" s="155" t="s">
        <v>196</v>
      </c>
      <c r="D434" s="255"/>
      <c r="E434" s="149"/>
      <c r="F434" s="149"/>
      <c r="G434" s="149"/>
      <c r="H434" s="149"/>
      <c r="I434" s="149"/>
      <c r="J434" s="149"/>
      <c r="K434" s="149"/>
      <c r="L434" s="149"/>
      <c r="M434" s="149"/>
      <c r="N434" s="149"/>
      <c r="O434" s="149"/>
      <c r="P434" s="149"/>
      <c r="Q434" s="149"/>
      <c r="R434" s="149"/>
      <c r="S434" s="149"/>
      <c r="T434" s="149"/>
      <c r="U434" s="149"/>
      <c r="V434" s="149"/>
      <c r="W434" s="4"/>
      <c r="X434" s="4"/>
      <c r="Y434" s="4"/>
      <c r="Z434" s="4"/>
      <c r="AA434" s="4"/>
    </row>
    <row r="435" spans="1:27">
      <c r="A435" s="150" t="s">
        <v>189</v>
      </c>
      <c r="B435" s="659">
        <f>B433*B434</f>
        <v>3.15</v>
      </c>
      <c r="C435" s="155" t="s">
        <v>196</v>
      </c>
      <c r="D435" s="255"/>
      <c r="E435" s="149"/>
      <c r="F435" s="149"/>
      <c r="G435" s="149"/>
      <c r="H435" s="149"/>
      <c r="I435" s="149"/>
      <c r="J435" s="149"/>
      <c r="K435" s="149"/>
      <c r="L435" s="149"/>
      <c r="M435" s="149"/>
      <c r="N435" s="149"/>
      <c r="O435" s="149"/>
      <c r="P435" s="149"/>
      <c r="Q435" s="149"/>
      <c r="R435" s="149"/>
      <c r="S435" s="149"/>
      <c r="T435" s="149"/>
      <c r="U435" s="149"/>
      <c r="V435" s="149"/>
      <c r="W435" s="4"/>
      <c r="X435" s="4"/>
      <c r="Y435" s="4"/>
      <c r="Z435" s="4"/>
      <c r="AA435" s="4"/>
    </row>
    <row r="436" spans="1:27" ht="16">
      <c r="A436" s="256" t="s">
        <v>413</v>
      </c>
      <c r="B436" s="658">
        <f>IF(Inputs!C8="No",0,Inputs!$D$13)</f>
        <v>0</v>
      </c>
      <c r="C436" s="154" t="s">
        <v>290</v>
      </c>
      <c r="D436" s="255"/>
      <c r="E436" s="149"/>
      <c r="F436" s="149"/>
      <c r="G436" s="149"/>
      <c r="H436" s="149"/>
      <c r="I436" s="149"/>
      <c r="J436" s="149"/>
      <c r="K436" s="149"/>
      <c r="L436" s="149"/>
      <c r="M436" s="149"/>
      <c r="N436" s="149"/>
      <c r="O436" s="149"/>
      <c r="P436" s="149"/>
      <c r="Q436" s="149"/>
      <c r="R436" s="149"/>
      <c r="S436" s="149"/>
      <c r="T436" s="149"/>
      <c r="U436" s="149"/>
      <c r="V436" s="149"/>
      <c r="W436" s="4"/>
      <c r="X436" s="4"/>
      <c r="Y436" s="4"/>
      <c r="Z436" s="4"/>
      <c r="AA436" s="4"/>
    </row>
    <row r="437" spans="1:27">
      <c r="A437" s="256" t="s">
        <v>190</v>
      </c>
      <c r="B437" s="658" t="str">
        <f>Inputs!M33</f>
        <v>N/A</v>
      </c>
      <c r="C437" s="155" t="s">
        <v>196</v>
      </c>
      <c r="D437" s="255"/>
      <c r="E437" s="149"/>
      <c r="F437" s="149"/>
      <c r="G437" s="149"/>
      <c r="H437" s="149"/>
      <c r="I437" s="149"/>
      <c r="J437" s="149"/>
      <c r="K437" s="149"/>
      <c r="L437" s="149"/>
      <c r="M437" s="149"/>
      <c r="N437" s="149"/>
      <c r="O437" s="149"/>
      <c r="P437" s="149"/>
      <c r="Q437" s="149"/>
      <c r="R437" s="149"/>
      <c r="S437" s="149"/>
      <c r="T437" s="149"/>
      <c r="U437" s="149"/>
      <c r="V437" s="149"/>
      <c r="W437" s="4"/>
      <c r="X437" s="4"/>
      <c r="Y437" s="4"/>
      <c r="Z437" s="4"/>
      <c r="AA437" s="4"/>
    </row>
    <row r="438" spans="1:27">
      <c r="A438" s="256" t="s">
        <v>191</v>
      </c>
      <c r="B438" s="156">
        <f>'System Efficiencies'!C9</f>
        <v>0.9</v>
      </c>
      <c r="C438" s="155" t="s">
        <v>196</v>
      </c>
      <c r="D438" s="255"/>
      <c r="E438" s="149"/>
      <c r="F438" s="149"/>
      <c r="G438" s="149"/>
      <c r="H438" s="149"/>
      <c r="I438" s="149"/>
      <c r="J438" s="149"/>
      <c r="K438" s="149"/>
      <c r="L438" s="149"/>
      <c r="M438" s="149"/>
      <c r="N438" s="149"/>
      <c r="O438" s="149"/>
      <c r="P438" s="149"/>
      <c r="Q438" s="149"/>
      <c r="R438" s="149"/>
      <c r="S438" s="149"/>
      <c r="T438" s="149"/>
      <c r="U438" s="149"/>
      <c r="V438" s="149"/>
      <c r="W438" s="4"/>
      <c r="X438" s="4"/>
      <c r="Y438" s="4"/>
      <c r="Z438" s="4"/>
      <c r="AA438" s="4"/>
    </row>
    <row r="439" spans="1:27">
      <c r="A439" s="256" t="s">
        <v>192</v>
      </c>
      <c r="B439" s="659" t="e">
        <f>B437*B438</f>
        <v>#VALUE!</v>
      </c>
      <c r="C439" s="155" t="s">
        <v>196</v>
      </c>
      <c r="D439" s="255"/>
      <c r="E439" s="149"/>
      <c r="F439" s="149"/>
      <c r="G439" s="149"/>
      <c r="H439" s="149"/>
      <c r="I439" s="149"/>
      <c r="J439" s="149"/>
      <c r="K439" s="149"/>
      <c r="L439" s="149"/>
      <c r="M439" s="149"/>
      <c r="N439" s="149"/>
      <c r="O439" s="149"/>
      <c r="P439" s="149"/>
      <c r="Q439" s="149"/>
      <c r="R439" s="149"/>
      <c r="S439" s="149"/>
      <c r="T439" s="149"/>
      <c r="U439" s="149"/>
      <c r="V439" s="149"/>
      <c r="W439" s="4"/>
      <c r="X439" s="4"/>
      <c r="Y439" s="4"/>
      <c r="Z439" s="4"/>
      <c r="AA439" s="4"/>
    </row>
    <row r="440" spans="1:27" ht="16">
      <c r="A440" s="150" t="s">
        <v>82</v>
      </c>
      <c r="B440" s="658" t="str">
        <f>Inputs!I33</f>
        <v>N/A</v>
      </c>
      <c r="C440" s="157" t="s">
        <v>195</v>
      </c>
      <c r="D440" s="255"/>
      <c r="E440" s="149"/>
      <c r="F440" s="149"/>
      <c r="G440" s="149"/>
      <c r="H440" s="149"/>
      <c r="I440" s="149"/>
      <c r="J440" s="149"/>
      <c r="K440" s="149"/>
      <c r="L440" s="149"/>
      <c r="M440" s="149"/>
      <c r="N440" s="149"/>
      <c r="O440" s="149"/>
      <c r="P440" s="149"/>
      <c r="Q440" s="149"/>
      <c r="R440" s="257"/>
      <c r="S440" s="257"/>
      <c r="T440" s="257"/>
      <c r="U440" s="257"/>
      <c r="V440" s="258"/>
      <c r="W440" s="258"/>
      <c r="X440" s="258"/>
      <c r="Y440" s="258"/>
      <c r="Z440" s="258"/>
      <c r="AA440" s="258"/>
    </row>
    <row r="441" spans="1:27">
      <c r="A441" s="150" t="s">
        <v>81</v>
      </c>
      <c r="B441" s="153">
        <f>'Capital Cost Structure'!E76</f>
        <v>25</v>
      </c>
      <c r="C441" s="157" t="s">
        <v>195</v>
      </c>
      <c r="D441" s="255"/>
      <c r="E441" s="302" t="s">
        <v>287</v>
      </c>
      <c r="F441" s="149"/>
      <c r="G441" s="149"/>
      <c r="H441" s="149"/>
      <c r="I441" s="149"/>
      <c r="J441" s="149"/>
      <c r="K441" s="149"/>
      <c r="L441" s="149"/>
      <c r="M441" s="149"/>
      <c r="N441" s="149"/>
      <c r="O441" s="149"/>
      <c r="P441" s="149"/>
      <c r="Q441" s="149"/>
      <c r="R441" s="149"/>
      <c r="S441" s="149"/>
      <c r="T441" s="149"/>
      <c r="U441" s="149"/>
      <c r="V441" s="149"/>
      <c r="W441" s="4"/>
      <c r="X441" s="4"/>
      <c r="Y441" s="4"/>
      <c r="Z441" s="4"/>
      <c r="AA441" s="4"/>
    </row>
    <row r="442" spans="1:27">
      <c r="A442" s="150" t="s">
        <v>32</v>
      </c>
      <c r="B442" s="156">
        <f>$B$5</f>
        <v>0.05</v>
      </c>
      <c r="C442" s="248" t="s">
        <v>194</v>
      </c>
      <c r="D442" s="255"/>
      <c r="E442" s="149"/>
      <c r="F442" s="149"/>
      <c r="G442" s="149"/>
      <c r="H442" s="149"/>
      <c r="I442" s="149"/>
      <c r="J442" s="149"/>
      <c r="K442" s="149"/>
      <c r="L442" s="149"/>
      <c r="M442" s="149"/>
      <c r="N442" s="149"/>
      <c r="O442" s="149"/>
      <c r="P442" s="149"/>
      <c r="Q442" s="149"/>
      <c r="R442" s="149"/>
      <c r="S442" s="149"/>
      <c r="T442" s="149"/>
      <c r="U442" s="149"/>
      <c r="V442" s="149"/>
      <c r="W442" s="4"/>
      <c r="X442" s="4"/>
      <c r="Y442" s="4"/>
      <c r="Z442" s="4"/>
      <c r="AA442" s="4"/>
    </row>
    <row r="443" spans="1:27" ht="16" thickBot="1">
      <c r="A443" s="159" t="s">
        <v>405</v>
      </c>
      <c r="B443" s="547">
        <f>Inputs!F33</f>
        <v>0</v>
      </c>
      <c r="C443" s="249" t="s">
        <v>194</v>
      </c>
      <c r="D443" s="160"/>
      <c r="E443" s="161"/>
      <c r="F443" s="161"/>
      <c r="G443" s="161"/>
      <c r="H443" s="161"/>
      <c r="I443" s="161"/>
      <c r="J443" s="161"/>
      <c r="K443" s="161"/>
      <c r="L443" s="161"/>
      <c r="M443" s="161"/>
      <c r="N443" s="161"/>
      <c r="O443" s="161"/>
      <c r="P443" s="161"/>
      <c r="Q443" s="161"/>
      <c r="R443" s="161"/>
      <c r="S443" s="161"/>
      <c r="T443" s="161"/>
      <c r="U443" s="161"/>
      <c r="V443" s="161"/>
      <c r="W443" s="4"/>
      <c r="X443" s="4"/>
      <c r="Y443" s="4"/>
      <c r="Z443" s="4"/>
      <c r="AA443" s="4"/>
    </row>
    <row r="444" spans="1:27" ht="17" thickTop="1" thickBot="1">
      <c r="A444" s="6" t="s">
        <v>0</v>
      </c>
      <c r="B444" s="139" t="s">
        <v>51</v>
      </c>
      <c r="C444" s="117" t="s">
        <v>1</v>
      </c>
      <c r="D444" s="117" t="s">
        <v>2</v>
      </c>
      <c r="E444" s="117" t="s">
        <v>3</v>
      </c>
      <c r="F444" s="117" t="s">
        <v>4</v>
      </c>
      <c r="G444" s="117" t="s">
        <v>5</v>
      </c>
      <c r="H444" s="117" t="s">
        <v>6</v>
      </c>
      <c r="I444" s="117" t="s">
        <v>7</v>
      </c>
      <c r="J444" s="117" t="s">
        <v>8</v>
      </c>
      <c r="K444" s="117" t="s">
        <v>9</v>
      </c>
      <c r="L444" s="117" t="s">
        <v>10</v>
      </c>
      <c r="M444" s="117" t="s">
        <v>11</v>
      </c>
      <c r="N444" s="117" t="s">
        <v>12</v>
      </c>
      <c r="O444" s="117" t="s">
        <v>13</v>
      </c>
      <c r="P444" s="117" t="s">
        <v>14</v>
      </c>
      <c r="Q444" s="162" t="s">
        <v>15</v>
      </c>
      <c r="R444" s="139" t="s">
        <v>16</v>
      </c>
      <c r="S444" s="117" t="s">
        <v>17</v>
      </c>
      <c r="T444" s="117" t="s">
        <v>18</v>
      </c>
      <c r="U444" s="117" t="s">
        <v>19</v>
      </c>
      <c r="V444" s="163" t="s">
        <v>20</v>
      </c>
      <c r="W444" s="164" t="s">
        <v>93</v>
      </c>
      <c r="X444" s="165" t="s">
        <v>94</v>
      </c>
      <c r="Y444" s="165" t="s">
        <v>95</v>
      </c>
      <c r="Z444" s="165" t="s">
        <v>96</v>
      </c>
      <c r="AA444" s="166" t="s">
        <v>97</v>
      </c>
    </row>
    <row r="445" spans="1:27" ht="16">
      <c r="A445" s="167" t="s">
        <v>314</v>
      </c>
      <c r="B445" s="168" t="e">
        <f>B440*(1-Inputs!G33)</f>
        <v>#VALUE!</v>
      </c>
      <c r="C445" s="169"/>
      <c r="D445" s="169"/>
      <c r="E445" s="169"/>
      <c r="F445" s="169"/>
      <c r="G445" s="169"/>
      <c r="H445" s="169"/>
      <c r="I445" s="169"/>
      <c r="J445" s="169"/>
      <c r="K445" s="169"/>
      <c r="L445" s="169"/>
      <c r="M445" s="169"/>
      <c r="N445" s="169"/>
      <c r="O445" s="169"/>
      <c r="P445" s="169"/>
      <c r="Q445" s="170"/>
      <c r="R445" s="171"/>
      <c r="S445" s="169"/>
      <c r="T445" s="169"/>
      <c r="U445" s="169"/>
      <c r="V445" s="172"/>
      <c r="W445" s="169"/>
      <c r="X445" s="169"/>
      <c r="Y445" s="169"/>
      <c r="Z445" s="169"/>
      <c r="AA445" s="173"/>
    </row>
    <row r="446" spans="1:27">
      <c r="A446" s="209" t="s">
        <v>270</v>
      </c>
      <c r="B446" s="139"/>
      <c r="C446" s="7"/>
      <c r="D446" s="7"/>
      <c r="E446" s="7"/>
      <c r="F446" s="7"/>
      <c r="G446" s="269" t="s">
        <v>178</v>
      </c>
      <c r="H446" s="127"/>
      <c r="I446" s="127"/>
      <c r="J446" s="127"/>
      <c r="K446" s="127"/>
      <c r="L446" s="269" t="s">
        <v>360</v>
      </c>
      <c r="M446" s="7"/>
      <c r="N446" s="7"/>
      <c r="O446" s="7"/>
      <c r="P446" s="7"/>
      <c r="Q446" s="162" t="s">
        <v>361</v>
      </c>
      <c r="R446" s="174"/>
      <c r="S446" s="7"/>
      <c r="T446" s="7"/>
      <c r="U446" s="7"/>
      <c r="V446" s="163" t="s">
        <v>362</v>
      </c>
      <c r="W446" s="7"/>
      <c r="X446" s="7"/>
      <c r="Y446" s="7"/>
      <c r="Z446" s="7"/>
      <c r="AA446" s="175"/>
    </row>
    <row r="447" spans="1:27" ht="16">
      <c r="A447" s="266" t="s">
        <v>269</v>
      </c>
      <c r="B447" s="139">
        <v>0</v>
      </c>
      <c r="C447" s="7"/>
      <c r="D447" s="7"/>
      <c r="E447" s="7"/>
      <c r="F447" s="7"/>
      <c r="G447" s="651" t="e">
        <f>('Capital Cost Structure'!F80*B440)</f>
        <v>#VALUE!</v>
      </c>
      <c r="H447" s="7"/>
      <c r="I447" s="7"/>
      <c r="J447" s="7"/>
      <c r="K447" s="7"/>
      <c r="L447" s="651" t="e">
        <f>('Capital Cost Structure'!F80*B440)+('Capital Cost Structure'!F79*B440)</f>
        <v>#VALUE!</v>
      </c>
      <c r="M447" s="7"/>
      <c r="N447" s="7"/>
      <c r="O447" s="7"/>
      <c r="P447" s="7"/>
      <c r="Q447" s="653" t="e">
        <f>('Capital Cost Structure'!F80*B440)+('Capital Cost Structure'!F77*B440)</f>
        <v>#VALUE!</v>
      </c>
      <c r="R447" s="174"/>
      <c r="S447" s="7"/>
      <c r="T447" s="7"/>
      <c r="U447" s="7"/>
      <c r="V447" s="653" t="e">
        <f>('Capital Cost Structure'!F80*B440)+('Capital Cost Structure'!F81*B440)+('Capital Cost Structure'!F79*B440)</f>
        <v>#VALUE!</v>
      </c>
      <c r="W447" s="7"/>
      <c r="X447" s="7"/>
      <c r="Y447" s="7"/>
      <c r="Z447" s="7"/>
      <c r="AA447" s="175"/>
    </row>
    <row r="448" spans="1:27">
      <c r="A448" s="209" t="s">
        <v>50</v>
      </c>
      <c r="B448" s="139" t="e">
        <f>B445</f>
        <v>#VALUE!</v>
      </c>
      <c r="C448" s="177" t="e">
        <f>B448+C447-($B$445/$B$441)</f>
        <v>#VALUE!</v>
      </c>
      <c r="D448" s="177" t="e">
        <f t="shared" ref="D448:AA448" si="139">C448+D447-($B$445/$B$441)</f>
        <v>#VALUE!</v>
      </c>
      <c r="E448" s="177" t="e">
        <f>D448+E447-($B$445/$B$441)</f>
        <v>#VALUE!</v>
      </c>
      <c r="F448" s="177" t="e">
        <f t="shared" si="139"/>
        <v>#VALUE!</v>
      </c>
      <c r="G448" s="7" t="e">
        <f t="shared" si="139"/>
        <v>#VALUE!</v>
      </c>
      <c r="H448" s="7" t="e">
        <f t="shared" si="139"/>
        <v>#VALUE!</v>
      </c>
      <c r="I448" s="7" t="e">
        <f t="shared" si="139"/>
        <v>#VALUE!</v>
      </c>
      <c r="J448" s="7" t="e">
        <f t="shared" si="139"/>
        <v>#VALUE!</v>
      </c>
      <c r="K448" s="7" t="e">
        <f t="shared" si="139"/>
        <v>#VALUE!</v>
      </c>
      <c r="L448" s="7" t="e">
        <f t="shared" si="139"/>
        <v>#VALUE!</v>
      </c>
      <c r="M448" s="7" t="e">
        <f t="shared" si="139"/>
        <v>#VALUE!</v>
      </c>
      <c r="N448" s="7" t="e">
        <f t="shared" si="139"/>
        <v>#VALUE!</v>
      </c>
      <c r="O448" s="7" t="e">
        <f t="shared" si="139"/>
        <v>#VALUE!</v>
      </c>
      <c r="P448" s="7" t="e">
        <f t="shared" si="139"/>
        <v>#VALUE!</v>
      </c>
      <c r="Q448" s="244" t="e">
        <f t="shared" si="139"/>
        <v>#VALUE!</v>
      </c>
      <c r="R448" s="245" t="e">
        <f t="shared" si="139"/>
        <v>#VALUE!</v>
      </c>
      <c r="S448" s="177" t="e">
        <f t="shared" si="139"/>
        <v>#VALUE!</v>
      </c>
      <c r="T448" s="177" t="e">
        <f t="shared" si="139"/>
        <v>#VALUE!</v>
      </c>
      <c r="U448" s="177" t="e">
        <f t="shared" si="139"/>
        <v>#VALUE!</v>
      </c>
      <c r="V448" s="293" t="e">
        <f t="shared" si="139"/>
        <v>#VALUE!</v>
      </c>
      <c r="W448" s="177" t="e">
        <f t="shared" si="139"/>
        <v>#VALUE!</v>
      </c>
      <c r="X448" s="177" t="e">
        <f t="shared" si="139"/>
        <v>#VALUE!</v>
      </c>
      <c r="Y448" s="177" t="e">
        <f t="shared" si="139"/>
        <v>#VALUE!</v>
      </c>
      <c r="Z448" s="177" t="e">
        <f t="shared" si="139"/>
        <v>#VALUE!</v>
      </c>
      <c r="AA448" s="178" t="e">
        <f t="shared" si="139"/>
        <v>#VALUE!</v>
      </c>
    </row>
    <row r="449" spans="1:27" ht="16">
      <c r="A449" s="180" t="s">
        <v>22</v>
      </c>
      <c r="B449" s="183" t="e">
        <f>B445+B447+(B443/$B$4)</f>
        <v>#VALUE!</v>
      </c>
      <c r="C449" s="181">
        <f>C445+C447</f>
        <v>0</v>
      </c>
      <c r="D449" s="181">
        <f>D445+D447</f>
        <v>0</v>
      </c>
      <c r="E449" s="181">
        <f t="shared" ref="E449:AA449" si="140">E445+E447</f>
        <v>0</v>
      </c>
      <c r="F449" s="181">
        <f t="shared" si="140"/>
        <v>0</v>
      </c>
      <c r="G449" s="181" t="e">
        <f>G445+G447</f>
        <v>#VALUE!</v>
      </c>
      <c r="H449" s="181">
        <f t="shared" si="140"/>
        <v>0</v>
      </c>
      <c r="I449" s="181">
        <f t="shared" si="140"/>
        <v>0</v>
      </c>
      <c r="J449" s="181">
        <f t="shared" si="140"/>
        <v>0</v>
      </c>
      <c r="K449" s="181">
        <f t="shared" si="140"/>
        <v>0</v>
      </c>
      <c r="L449" s="181" t="e">
        <f t="shared" si="140"/>
        <v>#VALUE!</v>
      </c>
      <c r="M449" s="181">
        <f t="shared" si="140"/>
        <v>0</v>
      </c>
      <c r="N449" s="181">
        <f t="shared" si="140"/>
        <v>0</v>
      </c>
      <c r="O449" s="181">
        <f t="shared" si="140"/>
        <v>0</v>
      </c>
      <c r="P449" s="181">
        <f t="shared" si="140"/>
        <v>0</v>
      </c>
      <c r="Q449" s="182" t="e">
        <f t="shared" si="140"/>
        <v>#VALUE!</v>
      </c>
      <c r="R449" s="183">
        <f t="shared" si="140"/>
        <v>0</v>
      </c>
      <c r="S449" s="181">
        <f t="shared" si="140"/>
        <v>0</v>
      </c>
      <c r="T449" s="181">
        <f t="shared" si="140"/>
        <v>0</v>
      </c>
      <c r="U449" s="181">
        <f t="shared" si="140"/>
        <v>0</v>
      </c>
      <c r="V449" s="182" t="e">
        <f t="shared" si="140"/>
        <v>#VALUE!</v>
      </c>
      <c r="W449" s="181">
        <f t="shared" si="140"/>
        <v>0</v>
      </c>
      <c r="X449" s="181">
        <f t="shared" si="140"/>
        <v>0</v>
      </c>
      <c r="Y449" s="181">
        <f t="shared" si="140"/>
        <v>0</v>
      </c>
      <c r="Z449" s="181">
        <f t="shared" si="140"/>
        <v>0</v>
      </c>
      <c r="AA449" s="182">
        <f t="shared" si="140"/>
        <v>0</v>
      </c>
    </row>
    <row r="450" spans="1:27" s="18" customFormat="1" ht="16" thickBot="1">
      <c r="A450" s="184" t="s">
        <v>87</v>
      </c>
      <c r="B450" s="185" t="e">
        <f>(B449*$B$4)</f>
        <v>#VALUE!</v>
      </c>
      <c r="C450" s="186">
        <f>C449*$B$4</f>
        <v>0</v>
      </c>
      <c r="D450" s="186">
        <f t="shared" ref="D450:L450" si="141">D449*$B$4</f>
        <v>0</v>
      </c>
      <c r="E450" s="186">
        <f t="shared" si="141"/>
        <v>0</v>
      </c>
      <c r="F450" s="186">
        <f t="shared" si="141"/>
        <v>0</v>
      </c>
      <c r="G450" s="186" t="e">
        <f t="shared" si="141"/>
        <v>#VALUE!</v>
      </c>
      <c r="H450" s="186">
        <f t="shared" si="141"/>
        <v>0</v>
      </c>
      <c r="I450" s="186">
        <f t="shared" si="141"/>
        <v>0</v>
      </c>
      <c r="J450" s="186">
        <f t="shared" si="141"/>
        <v>0</v>
      </c>
      <c r="K450" s="186">
        <f t="shared" si="141"/>
        <v>0</v>
      </c>
      <c r="L450" s="186" t="e">
        <f t="shared" si="141"/>
        <v>#VALUE!</v>
      </c>
      <c r="M450" s="186">
        <f t="shared" ref="M450:V450" si="142">M449*$B$4</f>
        <v>0</v>
      </c>
      <c r="N450" s="186">
        <f t="shared" si="142"/>
        <v>0</v>
      </c>
      <c r="O450" s="186">
        <f t="shared" si="142"/>
        <v>0</v>
      </c>
      <c r="P450" s="186">
        <f t="shared" si="142"/>
        <v>0</v>
      </c>
      <c r="Q450" s="187" t="e">
        <f t="shared" si="142"/>
        <v>#VALUE!</v>
      </c>
      <c r="R450" s="185">
        <f t="shared" si="142"/>
        <v>0</v>
      </c>
      <c r="S450" s="186">
        <f t="shared" si="142"/>
        <v>0</v>
      </c>
      <c r="T450" s="186">
        <f t="shared" si="142"/>
        <v>0</v>
      </c>
      <c r="U450" s="186">
        <f t="shared" si="142"/>
        <v>0</v>
      </c>
      <c r="V450" s="188" t="e">
        <f t="shared" si="142"/>
        <v>#VALUE!</v>
      </c>
      <c r="W450" s="186">
        <f>W449*$B$4</f>
        <v>0</v>
      </c>
      <c r="X450" s="186">
        <f>X449*$B$4</f>
        <v>0</v>
      </c>
      <c r="Y450" s="186">
        <f>Y449*$B$4</f>
        <v>0</v>
      </c>
      <c r="Z450" s="186">
        <f>Z449*$B$4</f>
        <v>0</v>
      </c>
      <c r="AA450" s="189">
        <f>AA449*$B$4</f>
        <v>0</v>
      </c>
    </row>
    <row r="451" spans="1:27">
      <c r="A451" s="6"/>
      <c r="B451" s="139"/>
      <c r="C451" s="7"/>
      <c r="D451" s="7"/>
      <c r="E451" s="7"/>
      <c r="F451" s="7"/>
      <c r="G451" s="7"/>
      <c r="H451" s="7"/>
      <c r="I451" s="7"/>
      <c r="J451" s="7"/>
      <c r="K451" s="7"/>
      <c r="L451" s="7"/>
      <c r="M451" s="7"/>
      <c r="N451" s="7"/>
      <c r="O451" s="7"/>
      <c r="P451" s="7"/>
      <c r="Q451" s="104"/>
      <c r="R451" s="174"/>
      <c r="S451" s="7"/>
      <c r="T451" s="7"/>
      <c r="U451" s="7"/>
      <c r="V451" s="179"/>
      <c r="W451" s="7"/>
      <c r="X451" s="7"/>
      <c r="Y451" s="7"/>
      <c r="Z451" s="7"/>
      <c r="AA451" s="175"/>
    </row>
    <row r="452" spans="1:27">
      <c r="A452" s="209" t="s">
        <v>21</v>
      </c>
      <c r="B452" s="139">
        <v>0</v>
      </c>
      <c r="C452" s="17">
        <v>0.01</v>
      </c>
      <c r="D452" s="17">
        <f>C452+(0.01/($B$441-1))</f>
        <v>1.0416666666666666E-2</v>
      </c>
      <c r="E452" s="17">
        <f>D452+(0.01/($B$441-1))</f>
        <v>1.0833333333333332E-2</v>
      </c>
      <c r="F452" s="17">
        <f t="shared" ref="F452:AA452" si="143">E452+(0.01/($B$441-1))</f>
        <v>1.1249999999999998E-2</v>
      </c>
      <c r="G452" s="17">
        <f t="shared" si="143"/>
        <v>1.1666666666666664E-2</v>
      </c>
      <c r="H452" s="17">
        <f t="shared" si="143"/>
        <v>1.208333333333333E-2</v>
      </c>
      <c r="I452" s="17">
        <f t="shared" si="143"/>
        <v>1.2499999999999995E-2</v>
      </c>
      <c r="J452" s="17">
        <f t="shared" si="143"/>
        <v>1.2916666666666661E-2</v>
      </c>
      <c r="K452" s="17">
        <f t="shared" si="143"/>
        <v>1.3333333333333327E-2</v>
      </c>
      <c r="L452" s="17">
        <f t="shared" si="143"/>
        <v>1.3749999999999993E-2</v>
      </c>
      <c r="M452" s="17">
        <f t="shared" si="143"/>
        <v>1.4166666666666659E-2</v>
      </c>
      <c r="N452" s="17">
        <f>M452+(0.01/($B$441-1))</f>
        <v>1.4583333333333325E-2</v>
      </c>
      <c r="O452" s="17">
        <f t="shared" si="143"/>
        <v>1.4999999999999991E-2</v>
      </c>
      <c r="P452" s="17">
        <f t="shared" si="143"/>
        <v>1.5416666666666657E-2</v>
      </c>
      <c r="Q452" s="190">
        <f t="shared" si="143"/>
        <v>1.5833333333333324E-2</v>
      </c>
      <c r="R452" s="191">
        <f t="shared" si="143"/>
        <v>1.624999999999999E-2</v>
      </c>
      <c r="S452" s="17">
        <f t="shared" si="143"/>
        <v>1.6666666666666656E-2</v>
      </c>
      <c r="T452" s="17">
        <f t="shared" si="143"/>
        <v>1.7083333333333322E-2</v>
      </c>
      <c r="U452" s="17">
        <f t="shared" si="143"/>
        <v>1.7499999999999988E-2</v>
      </c>
      <c r="V452" s="192">
        <f t="shared" si="143"/>
        <v>1.7916666666666654E-2</v>
      </c>
      <c r="W452" s="17">
        <f t="shared" si="143"/>
        <v>1.833333333333332E-2</v>
      </c>
      <c r="X452" s="17">
        <f t="shared" si="143"/>
        <v>1.8749999999999985E-2</v>
      </c>
      <c r="Y452" s="17">
        <f t="shared" si="143"/>
        <v>1.9166666666666651E-2</v>
      </c>
      <c r="Z452" s="17">
        <f t="shared" si="143"/>
        <v>1.9583333333333317E-2</v>
      </c>
      <c r="AA452" s="193">
        <f t="shared" si="143"/>
        <v>1.9999999999999983E-2</v>
      </c>
    </row>
    <row r="453" spans="1:27" ht="16">
      <c r="A453" s="180" t="s">
        <v>23</v>
      </c>
      <c r="B453" s="194" t="e">
        <f>B452*$B$440</f>
        <v>#VALUE!</v>
      </c>
      <c r="C453" s="194" t="e">
        <f>C452*$B$440</f>
        <v>#VALUE!</v>
      </c>
      <c r="D453" s="194" t="e">
        <f>D452*$B$440</f>
        <v>#VALUE!</v>
      </c>
      <c r="E453" s="194" t="e">
        <f t="shared" ref="E453:AA453" si="144">E452*$B$440</f>
        <v>#VALUE!</v>
      </c>
      <c r="F453" s="194" t="e">
        <f t="shared" si="144"/>
        <v>#VALUE!</v>
      </c>
      <c r="G453" s="194" t="e">
        <f t="shared" si="144"/>
        <v>#VALUE!</v>
      </c>
      <c r="H453" s="194" t="e">
        <f t="shared" si="144"/>
        <v>#VALUE!</v>
      </c>
      <c r="I453" s="194" t="e">
        <f t="shared" si="144"/>
        <v>#VALUE!</v>
      </c>
      <c r="J453" s="194" t="e">
        <f t="shared" si="144"/>
        <v>#VALUE!</v>
      </c>
      <c r="K453" s="194" t="e">
        <f t="shared" si="144"/>
        <v>#VALUE!</v>
      </c>
      <c r="L453" s="194" t="e">
        <f t="shared" si="144"/>
        <v>#VALUE!</v>
      </c>
      <c r="M453" s="194" t="e">
        <f t="shared" si="144"/>
        <v>#VALUE!</v>
      </c>
      <c r="N453" s="194" t="e">
        <f t="shared" si="144"/>
        <v>#VALUE!</v>
      </c>
      <c r="O453" s="194" t="e">
        <f>O452*$B$440</f>
        <v>#VALUE!</v>
      </c>
      <c r="P453" s="194" t="e">
        <f t="shared" si="144"/>
        <v>#VALUE!</v>
      </c>
      <c r="Q453" s="195" t="e">
        <f t="shared" si="144"/>
        <v>#VALUE!</v>
      </c>
      <c r="R453" s="196" t="e">
        <f t="shared" si="144"/>
        <v>#VALUE!</v>
      </c>
      <c r="S453" s="194" t="e">
        <f t="shared" si="144"/>
        <v>#VALUE!</v>
      </c>
      <c r="T453" s="194" t="e">
        <f t="shared" si="144"/>
        <v>#VALUE!</v>
      </c>
      <c r="U453" s="194" t="e">
        <f t="shared" si="144"/>
        <v>#VALUE!</v>
      </c>
      <c r="V453" s="195" t="e">
        <f t="shared" si="144"/>
        <v>#VALUE!</v>
      </c>
      <c r="W453" s="194" t="e">
        <f t="shared" si="144"/>
        <v>#VALUE!</v>
      </c>
      <c r="X453" s="194" t="e">
        <f t="shared" si="144"/>
        <v>#VALUE!</v>
      </c>
      <c r="Y453" s="194" t="e">
        <f t="shared" si="144"/>
        <v>#VALUE!</v>
      </c>
      <c r="Z453" s="194" t="e">
        <f t="shared" si="144"/>
        <v>#VALUE!</v>
      </c>
      <c r="AA453" s="195" t="e">
        <f t="shared" si="144"/>
        <v>#VALUE!</v>
      </c>
    </row>
    <row r="454" spans="1:27" s="24" customFormat="1" ht="16" thickBot="1">
      <c r="A454" s="184" t="s">
        <v>88</v>
      </c>
      <c r="B454" s="279" t="e">
        <f t="shared" ref="B454:K454" si="145">B453*$B$4</f>
        <v>#VALUE!</v>
      </c>
      <c r="C454" s="277" t="e">
        <f t="shared" si="145"/>
        <v>#VALUE!</v>
      </c>
      <c r="D454" s="277" t="e">
        <f t="shared" si="145"/>
        <v>#VALUE!</v>
      </c>
      <c r="E454" s="277" t="e">
        <f t="shared" si="145"/>
        <v>#VALUE!</v>
      </c>
      <c r="F454" s="277" t="e">
        <f t="shared" si="145"/>
        <v>#VALUE!</v>
      </c>
      <c r="G454" s="277" t="e">
        <f t="shared" si="145"/>
        <v>#VALUE!</v>
      </c>
      <c r="H454" s="277" t="e">
        <f t="shared" si="145"/>
        <v>#VALUE!</v>
      </c>
      <c r="I454" s="277" t="e">
        <f t="shared" si="145"/>
        <v>#VALUE!</v>
      </c>
      <c r="J454" s="277" t="e">
        <f t="shared" si="145"/>
        <v>#VALUE!</v>
      </c>
      <c r="K454" s="277" t="e">
        <f t="shared" si="145"/>
        <v>#VALUE!</v>
      </c>
      <c r="L454" s="277" t="e">
        <f t="shared" ref="L454:V454" si="146">L453*$B$4</f>
        <v>#VALUE!</v>
      </c>
      <c r="M454" s="277" t="e">
        <f t="shared" si="146"/>
        <v>#VALUE!</v>
      </c>
      <c r="N454" s="277" t="e">
        <f t="shared" si="146"/>
        <v>#VALUE!</v>
      </c>
      <c r="O454" s="277" t="e">
        <f t="shared" si="146"/>
        <v>#VALUE!</v>
      </c>
      <c r="P454" s="277" t="e">
        <f t="shared" si="146"/>
        <v>#VALUE!</v>
      </c>
      <c r="Q454" s="278" t="e">
        <f t="shared" si="146"/>
        <v>#VALUE!</v>
      </c>
      <c r="R454" s="279" t="e">
        <f t="shared" si="146"/>
        <v>#VALUE!</v>
      </c>
      <c r="S454" s="277" t="e">
        <f t="shared" si="146"/>
        <v>#VALUE!</v>
      </c>
      <c r="T454" s="277" t="e">
        <f t="shared" si="146"/>
        <v>#VALUE!</v>
      </c>
      <c r="U454" s="277" t="e">
        <f t="shared" si="146"/>
        <v>#VALUE!</v>
      </c>
      <c r="V454" s="280" t="e">
        <f t="shared" si="146"/>
        <v>#VALUE!</v>
      </c>
      <c r="W454" s="277" t="e">
        <f>W453*$B$4</f>
        <v>#VALUE!</v>
      </c>
      <c r="X454" s="277" t="e">
        <f>X453*$B$4</f>
        <v>#VALUE!</v>
      </c>
      <c r="Y454" s="277" t="e">
        <f>Y453*$B$4</f>
        <v>#VALUE!</v>
      </c>
      <c r="Z454" s="277" t="e">
        <f>Z453*$B$4</f>
        <v>#VALUE!</v>
      </c>
      <c r="AA454" s="281" t="e">
        <f>AA453*$B$4</f>
        <v>#VALUE!</v>
      </c>
    </row>
    <row r="455" spans="1:27">
      <c r="A455" s="199"/>
      <c r="B455" s="174"/>
      <c r="C455" s="7"/>
      <c r="D455" s="7"/>
      <c r="E455" s="7"/>
      <c r="F455" s="7"/>
      <c r="G455" s="7"/>
      <c r="H455" s="7"/>
      <c r="I455" s="7"/>
      <c r="J455" s="7"/>
      <c r="K455" s="7"/>
      <c r="L455" s="7"/>
      <c r="M455" s="7"/>
      <c r="N455" s="7"/>
      <c r="O455" s="7"/>
      <c r="P455" s="7"/>
      <c r="Q455" s="104"/>
      <c r="R455" s="174"/>
      <c r="S455" s="7"/>
      <c r="T455" s="7"/>
      <c r="U455" s="7"/>
      <c r="V455" s="179"/>
      <c r="W455" s="7"/>
      <c r="X455" s="7"/>
      <c r="Y455" s="7"/>
      <c r="Z455" s="7"/>
      <c r="AA455" s="175"/>
    </row>
    <row r="456" spans="1:27">
      <c r="A456" s="6" t="s">
        <v>25</v>
      </c>
      <c r="B456" s="139">
        <v>0</v>
      </c>
      <c r="C456" s="259" t="str">
        <f>B430</f>
        <v/>
      </c>
      <c r="D456" s="259" t="e">
        <f t="shared" ref="D456:AA456" si="147">C456+C457</f>
        <v>#VALUE!</v>
      </c>
      <c r="E456" s="259" t="e">
        <f t="shared" si="147"/>
        <v>#VALUE!</v>
      </c>
      <c r="F456" s="259" t="e">
        <f t="shared" si="147"/>
        <v>#VALUE!</v>
      </c>
      <c r="G456" s="259" t="e">
        <f t="shared" si="147"/>
        <v>#VALUE!</v>
      </c>
      <c r="H456" s="259" t="e">
        <f t="shared" si="147"/>
        <v>#VALUE!</v>
      </c>
      <c r="I456" s="259" t="e">
        <f t="shared" si="147"/>
        <v>#VALUE!</v>
      </c>
      <c r="J456" s="259" t="e">
        <f t="shared" si="147"/>
        <v>#VALUE!</v>
      </c>
      <c r="K456" s="259" t="e">
        <f t="shared" si="147"/>
        <v>#VALUE!</v>
      </c>
      <c r="L456" s="259" t="e">
        <f t="shared" si="147"/>
        <v>#VALUE!</v>
      </c>
      <c r="M456" s="259" t="e">
        <f t="shared" si="147"/>
        <v>#VALUE!</v>
      </c>
      <c r="N456" s="259" t="e">
        <f>M456+M457</f>
        <v>#VALUE!</v>
      </c>
      <c r="O456" s="259" t="e">
        <f t="shared" si="147"/>
        <v>#VALUE!</v>
      </c>
      <c r="P456" s="259" t="e">
        <f t="shared" si="147"/>
        <v>#VALUE!</v>
      </c>
      <c r="Q456" s="105" t="e">
        <f t="shared" si="147"/>
        <v>#VALUE!</v>
      </c>
      <c r="R456" s="260" t="e">
        <f t="shared" si="147"/>
        <v>#VALUE!</v>
      </c>
      <c r="S456" s="259" t="e">
        <f t="shared" si="147"/>
        <v>#VALUE!</v>
      </c>
      <c r="T456" s="259" t="e">
        <f t="shared" si="147"/>
        <v>#VALUE!</v>
      </c>
      <c r="U456" s="259" t="e">
        <f t="shared" si="147"/>
        <v>#VALUE!</v>
      </c>
      <c r="V456" s="261" t="e">
        <f t="shared" si="147"/>
        <v>#VALUE!</v>
      </c>
      <c r="W456" s="259" t="e">
        <f t="shared" si="147"/>
        <v>#VALUE!</v>
      </c>
      <c r="X456" s="259" t="e">
        <f t="shared" si="147"/>
        <v>#VALUE!</v>
      </c>
      <c r="Y456" s="259" t="e">
        <f t="shared" si="147"/>
        <v>#VALUE!</v>
      </c>
      <c r="Z456" s="259" t="e">
        <f t="shared" si="147"/>
        <v>#VALUE!</v>
      </c>
      <c r="AA456" s="262" t="e">
        <f t="shared" si="147"/>
        <v>#VALUE!</v>
      </c>
    </row>
    <row r="457" spans="1:27">
      <c r="A457" s="209" t="s">
        <v>248</v>
      </c>
      <c r="B457" s="139"/>
      <c r="C457" s="259" t="e">
        <f>C456*$B$431</f>
        <v>#VALUE!</v>
      </c>
      <c r="D457" s="259" t="e">
        <f t="shared" ref="D457:AA457" si="148">D456*$B$431</f>
        <v>#VALUE!</v>
      </c>
      <c r="E457" s="259" t="e">
        <f>E456*$B$431</f>
        <v>#VALUE!</v>
      </c>
      <c r="F457" s="259" t="e">
        <f t="shared" si="148"/>
        <v>#VALUE!</v>
      </c>
      <c r="G457" s="259" t="e">
        <f>G456*$B$431</f>
        <v>#VALUE!</v>
      </c>
      <c r="H457" s="259" t="e">
        <f t="shared" si="148"/>
        <v>#VALUE!</v>
      </c>
      <c r="I457" s="259" t="e">
        <f t="shared" si="148"/>
        <v>#VALUE!</v>
      </c>
      <c r="J457" s="259" t="e">
        <f t="shared" si="148"/>
        <v>#VALUE!</v>
      </c>
      <c r="K457" s="259" t="e">
        <f t="shared" si="148"/>
        <v>#VALUE!</v>
      </c>
      <c r="L457" s="259" t="e">
        <f t="shared" si="148"/>
        <v>#VALUE!</v>
      </c>
      <c r="M457" s="259" t="e">
        <f t="shared" si="148"/>
        <v>#VALUE!</v>
      </c>
      <c r="N457" s="259" t="e">
        <f t="shared" si="148"/>
        <v>#VALUE!</v>
      </c>
      <c r="O457" s="259" t="e">
        <f t="shared" si="148"/>
        <v>#VALUE!</v>
      </c>
      <c r="P457" s="259" t="e">
        <f t="shared" si="148"/>
        <v>#VALUE!</v>
      </c>
      <c r="Q457" s="105" t="e">
        <f t="shared" si="148"/>
        <v>#VALUE!</v>
      </c>
      <c r="R457" s="260" t="e">
        <f t="shared" si="148"/>
        <v>#VALUE!</v>
      </c>
      <c r="S457" s="259" t="e">
        <f t="shared" si="148"/>
        <v>#VALUE!</v>
      </c>
      <c r="T457" s="259" t="e">
        <f t="shared" si="148"/>
        <v>#VALUE!</v>
      </c>
      <c r="U457" s="259" t="e">
        <f t="shared" si="148"/>
        <v>#VALUE!</v>
      </c>
      <c r="V457" s="261" t="e">
        <f t="shared" si="148"/>
        <v>#VALUE!</v>
      </c>
      <c r="W457" s="259" t="e">
        <f t="shared" si="148"/>
        <v>#VALUE!</v>
      </c>
      <c r="X457" s="259" t="e">
        <f t="shared" si="148"/>
        <v>#VALUE!</v>
      </c>
      <c r="Y457" s="259" t="e">
        <f t="shared" si="148"/>
        <v>#VALUE!</v>
      </c>
      <c r="Z457" s="259" t="e">
        <f t="shared" si="148"/>
        <v>#VALUE!</v>
      </c>
      <c r="AA457" s="262" t="e">
        <f t="shared" si="148"/>
        <v>#VALUE!</v>
      </c>
    </row>
    <row r="458" spans="1:27" ht="16">
      <c r="A458" s="180" t="s">
        <v>24</v>
      </c>
      <c r="B458" s="194">
        <f>B456*(($B$432*(1/$B$435))+IF(ISERROR($B$439),0,($B$436*(1/$B$439))))</f>
        <v>0</v>
      </c>
      <c r="C458" s="194" t="e">
        <f>C456*(($B$432*(1/$B$435))+IF(ISERROR($B$439),0,($B$436*(1/$B$439))))</f>
        <v>#VALUE!</v>
      </c>
      <c r="D458" s="194" t="e">
        <f t="shared" ref="D458:AA458" si="149">D456*(($B$432*(1/$B$435))+IF(ISERROR($B$439),0,($B$436*(1/$B$439))))</f>
        <v>#VALUE!</v>
      </c>
      <c r="E458" s="194" t="e">
        <f t="shared" si="149"/>
        <v>#VALUE!</v>
      </c>
      <c r="F458" s="194" t="e">
        <f t="shared" si="149"/>
        <v>#VALUE!</v>
      </c>
      <c r="G458" s="194" t="e">
        <f t="shared" si="149"/>
        <v>#VALUE!</v>
      </c>
      <c r="H458" s="194" t="e">
        <f t="shared" si="149"/>
        <v>#VALUE!</v>
      </c>
      <c r="I458" s="194" t="e">
        <f t="shared" si="149"/>
        <v>#VALUE!</v>
      </c>
      <c r="J458" s="194" t="e">
        <f t="shared" si="149"/>
        <v>#VALUE!</v>
      </c>
      <c r="K458" s="194" t="e">
        <f t="shared" si="149"/>
        <v>#VALUE!</v>
      </c>
      <c r="L458" s="194" t="e">
        <f t="shared" si="149"/>
        <v>#VALUE!</v>
      </c>
      <c r="M458" s="194" t="e">
        <f t="shared" si="149"/>
        <v>#VALUE!</v>
      </c>
      <c r="N458" s="194" t="e">
        <f t="shared" si="149"/>
        <v>#VALUE!</v>
      </c>
      <c r="O458" s="194" t="e">
        <f t="shared" si="149"/>
        <v>#VALUE!</v>
      </c>
      <c r="P458" s="194" t="e">
        <f t="shared" si="149"/>
        <v>#VALUE!</v>
      </c>
      <c r="Q458" s="195" t="e">
        <f t="shared" si="149"/>
        <v>#VALUE!</v>
      </c>
      <c r="R458" s="196" t="e">
        <f t="shared" si="149"/>
        <v>#VALUE!</v>
      </c>
      <c r="S458" s="194" t="e">
        <f t="shared" si="149"/>
        <v>#VALUE!</v>
      </c>
      <c r="T458" s="194" t="e">
        <f t="shared" si="149"/>
        <v>#VALUE!</v>
      </c>
      <c r="U458" s="194" t="e">
        <f t="shared" si="149"/>
        <v>#VALUE!</v>
      </c>
      <c r="V458" s="195" t="e">
        <f t="shared" si="149"/>
        <v>#VALUE!</v>
      </c>
      <c r="W458" s="194" t="e">
        <f t="shared" si="149"/>
        <v>#VALUE!</v>
      </c>
      <c r="X458" s="194" t="e">
        <f t="shared" si="149"/>
        <v>#VALUE!</v>
      </c>
      <c r="Y458" s="194" t="e">
        <f t="shared" si="149"/>
        <v>#VALUE!</v>
      </c>
      <c r="Z458" s="194" t="e">
        <f t="shared" si="149"/>
        <v>#VALUE!</v>
      </c>
      <c r="AA458" s="195" t="e">
        <f t="shared" si="149"/>
        <v>#VALUE!</v>
      </c>
    </row>
    <row r="459" spans="1:27" s="24" customFormat="1" ht="16" thickBot="1">
      <c r="A459" s="197" t="s">
        <v>89</v>
      </c>
      <c r="B459" s="288">
        <f>B458*$B$4</f>
        <v>0</v>
      </c>
      <c r="C459" s="277" t="e">
        <f>C458*$B$4</f>
        <v>#VALUE!</v>
      </c>
      <c r="D459" s="277" t="e">
        <f>D458*$B$4</f>
        <v>#VALUE!</v>
      </c>
      <c r="E459" s="277" t="e">
        <f>E458*$B$4</f>
        <v>#VALUE!</v>
      </c>
      <c r="F459" s="277" t="e">
        <f t="shared" ref="F459:V459" si="150">F458*$B$4</f>
        <v>#VALUE!</v>
      </c>
      <c r="G459" s="277" t="e">
        <f t="shared" si="150"/>
        <v>#VALUE!</v>
      </c>
      <c r="H459" s="277" t="e">
        <f t="shared" si="150"/>
        <v>#VALUE!</v>
      </c>
      <c r="I459" s="277" t="e">
        <f t="shared" si="150"/>
        <v>#VALUE!</v>
      </c>
      <c r="J459" s="277" t="e">
        <f t="shared" si="150"/>
        <v>#VALUE!</v>
      </c>
      <c r="K459" s="277" t="e">
        <f t="shared" si="150"/>
        <v>#VALUE!</v>
      </c>
      <c r="L459" s="277" t="e">
        <f t="shared" si="150"/>
        <v>#VALUE!</v>
      </c>
      <c r="M459" s="277" t="e">
        <f t="shared" si="150"/>
        <v>#VALUE!</v>
      </c>
      <c r="N459" s="277" t="e">
        <f t="shared" si="150"/>
        <v>#VALUE!</v>
      </c>
      <c r="O459" s="277" t="e">
        <f t="shared" si="150"/>
        <v>#VALUE!</v>
      </c>
      <c r="P459" s="277" t="e">
        <f t="shared" si="150"/>
        <v>#VALUE!</v>
      </c>
      <c r="Q459" s="278" t="e">
        <f t="shared" si="150"/>
        <v>#VALUE!</v>
      </c>
      <c r="R459" s="279" t="e">
        <f t="shared" si="150"/>
        <v>#VALUE!</v>
      </c>
      <c r="S459" s="277" t="e">
        <f t="shared" si="150"/>
        <v>#VALUE!</v>
      </c>
      <c r="T459" s="277" t="e">
        <f t="shared" si="150"/>
        <v>#VALUE!</v>
      </c>
      <c r="U459" s="277" t="e">
        <f t="shared" si="150"/>
        <v>#VALUE!</v>
      </c>
      <c r="V459" s="280" t="e">
        <f t="shared" si="150"/>
        <v>#VALUE!</v>
      </c>
      <c r="W459" s="277" t="e">
        <f>W458*$B$4</f>
        <v>#VALUE!</v>
      </c>
      <c r="X459" s="277" t="e">
        <f>X458*$B$4</f>
        <v>#VALUE!</v>
      </c>
      <c r="Y459" s="277" t="e">
        <f>Y458*$B$4</f>
        <v>#VALUE!</v>
      </c>
      <c r="Z459" s="277" t="e">
        <f>Z458*$B$4</f>
        <v>#VALUE!</v>
      </c>
      <c r="AA459" s="281" t="e">
        <f>AA458*$B$4</f>
        <v>#VALUE!</v>
      </c>
    </row>
    <row r="460" spans="1:27" s="24" customFormat="1">
      <c r="A460" s="167"/>
      <c r="B460" s="168"/>
      <c r="C460" s="169"/>
      <c r="D460" s="169"/>
      <c r="E460" s="169"/>
      <c r="F460" s="169"/>
      <c r="G460" s="169"/>
      <c r="H460" s="169"/>
      <c r="I460" s="169"/>
      <c r="J460" s="169"/>
      <c r="K460" s="169"/>
      <c r="L460" s="169"/>
      <c r="M460" s="169"/>
      <c r="N460" s="169"/>
      <c r="O460" s="169"/>
      <c r="P460" s="169"/>
      <c r="Q460" s="170"/>
      <c r="R460" s="171"/>
      <c r="S460" s="169"/>
      <c r="T460" s="169"/>
      <c r="U460" s="169"/>
      <c r="V460" s="172"/>
      <c r="W460" s="169"/>
      <c r="X460" s="169"/>
      <c r="Y460" s="169"/>
      <c r="Z460" s="169"/>
      <c r="AA460" s="173"/>
    </row>
    <row r="461" spans="1:27" ht="16">
      <c r="A461" s="6" t="s">
        <v>34</v>
      </c>
      <c r="B461" s="291" t="e">
        <f t="shared" ref="B461:G461" si="151">B449+B453+B458</f>
        <v>#VALUE!</v>
      </c>
      <c r="C461" s="118" t="e">
        <f t="shared" si="151"/>
        <v>#VALUE!</v>
      </c>
      <c r="D461" s="118" t="e">
        <f t="shared" si="151"/>
        <v>#VALUE!</v>
      </c>
      <c r="E461" s="118" t="e">
        <f t="shared" si="151"/>
        <v>#VALUE!</v>
      </c>
      <c r="F461" s="118" t="e">
        <f t="shared" si="151"/>
        <v>#VALUE!</v>
      </c>
      <c r="G461" s="118" t="e">
        <f t="shared" si="151"/>
        <v>#VALUE!</v>
      </c>
      <c r="H461" s="118" t="e">
        <f t="shared" ref="H461:Q461" si="152">H449+H453+H458</f>
        <v>#VALUE!</v>
      </c>
      <c r="I461" s="118" t="e">
        <f t="shared" si="152"/>
        <v>#VALUE!</v>
      </c>
      <c r="J461" s="118" t="e">
        <f t="shared" si="152"/>
        <v>#VALUE!</v>
      </c>
      <c r="K461" s="118" t="e">
        <f t="shared" si="152"/>
        <v>#VALUE!</v>
      </c>
      <c r="L461" s="118" t="e">
        <f t="shared" si="152"/>
        <v>#VALUE!</v>
      </c>
      <c r="M461" s="118" t="e">
        <f t="shared" si="152"/>
        <v>#VALUE!</v>
      </c>
      <c r="N461" s="118" t="e">
        <f t="shared" si="152"/>
        <v>#VALUE!</v>
      </c>
      <c r="O461" s="118" t="e">
        <f t="shared" si="152"/>
        <v>#VALUE!</v>
      </c>
      <c r="P461" s="118" t="e">
        <f t="shared" si="152"/>
        <v>#VALUE!</v>
      </c>
      <c r="Q461" s="202" t="e">
        <f t="shared" si="152"/>
        <v>#VALUE!</v>
      </c>
      <c r="R461" s="136" t="e">
        <f t="shared" ref="R461:AA461" si="153">R449+R453+R458</f>
        <v>#VALUE!</v>
      </c>
      <c r="S461" s="118" t="e">
        <f t="shared" si="153"/>
        <v>#VALUE!</v>
      </c>
      <c r="T461" s="118" t="e">
        <f t="shared" si="153"/>
        <v>#VALUE!</v>
      </c>
      <c r="U461" s="118" t="e">
        <f t="shared" si="153"/>
        <v>#VALUE!</v>
      </c>
      <c r="V461" s="203" t="e">
        <f t="shared" si="153"/>
        <v>#VALUE!</v>
      </c>
      <c r="W461" s="118" t="e">
        <f t="shared" si="153"/>
        <v>#VALUE!</v>
      </c>
      <c r="X461" s="118" t="e">
        <f t="shared" si="153"/>
        <v>#VALUE!</v>
      </c>
      <c r="Y461" s="118" t="e">
        <f t="shared" si="153"/>
        <v>#VALUE!</v>
      </c>
      <c r="Z461" s="118" t="e">
        <f t="shared" si="153"/>
        <v>#VALUE!</v>
      </c>
      <c r="AA461" s="204" t="e">
        <f t="shared" si="153"/>
        <v>#VALUE!</v>
      </c>
    </row>
    <row r="462" spans="1:27" ht="16" thickBot="1">
      <c r="A462" s="135" t="s">
        <v>35</v>
      </c>
      <c r="B462" s="243" t="e">
        <f>($B$4*B461)</f>
        <v>#VALUE!</v>
      </c>
      <c r="C462" s="243" t="e">
        <f>$B$4*C461</f>
        <v>#VALUE!</v>
      </c>
      <c r="D462" s="243" t="e">
        <f>$B$4*D461</f>
        <v>#VALUE!</v>
      </c>
      <c r="E462" s="243" t="e">
        <f>$B$4*E461</f>
        <v>#VALUE!</v>
      </c>
      <c r="F462" s="243" t="e">
        <f t="shared" ref="F462:V462" si="154">$B$4*F461</f>
        <v>#VALUE!</v>
      </c>
      <c r="G462" s="243" t="e">
        <f t="shared" si="154"/>
        <v>#VALUE!</v>
      </c>
      <c r="H462" s="243" t="e">
        <f t="shared" si="154"/>
        <v>#VALUE!</v>
      </c>
      <c r="I462" s="243" t="e">
        <f t="shared" si="154"/>
        <v>#VALUE!</v>
      </c>
      <c r="J462" s="243" t="e">
        <f t="shared" si="154"/>
        <v>#VALUE!</v>
      </c>
      <c r="K462" s="243" t="e">
        <f t="shared" si="154"/>
        <v>#VALUE!</v>
      </c>
      <c r="L462" s="243" t="e">
        <f t="shared" si="154"/>
        <v>#VALUE!</v>
      </c>
      <c r="M462" s="243" t="e">
        <f t="shared" si="154"/>
        <v>#VALUE!</v>
      </c>
      <c r="N462" s="243" t="e">
        <f t="shared" si="154"/>
        <v>#VALUE!</v>
      </c>
      <c r="O462" s="243" t="e">
        <f t="shared" si="154"/>
        <v>#VALUE!</v>
      </c>
      <c r="P462" s="243" t="e">
        <f t="shared" si="154"/>
        <v>#VALUE!</v>
      </c>
      <c r="Q462" s="250" t="e">
        <f t="shared" si="154"/>
        <v>#VALUE!</v>
      </c>
      <c r="R462" s="251" t="e">
        <f t="shared" si="154"/>
        <v>#VALUE!</v>
      </c>
      <c r="S462" s="243" t="e">
        <f t="shared" si="154"/>
        <v>#VALUE!</v>
      </c>
      <c r="T462" s="243" t="e">
        <f t="shared" si="154"/>
        <v>#VALUE!</v>
      </c>
      <c r="U462" s="243" t="e">
        <f t="shared" si="154"/>
        <v>#VALUE!</v>
      </c>
      <c r="V462" s="265" t="e">
        <f t="shared" si="154"/>
        <v>#VALUE!</v>
      </c>
      <c r="W462" s="243" t="e">
        <f>$B$4*W461</f>
        <v>#VALUE!</v>
      </c>
      <c r="X462" s="243" t="e">
        <f>$B$4*X461</f>
        <v>#VALUE!</v>
      </c>
      <c r="Y462" s="243" t="e">
        <f>$B$4*Y461</f>
        <v>#VALUE!</v>
      </c>
      <c r="Z462" s="243" t="e">
        <f>$B$4*Z461</f>
        <v>#VALUE!</v>
      </c>
      <c r="AA462" s="32" t="e">
        <f>$B$4*AA461</f>
        <v>#VALUE!</v>
      </c>
    </row>
    <row r="463" spans="1:27" ht="17" thickTop="1" thickBot="1">
      <c r="A463" s="236"/>
      <c r="B463" s="28" t="s">
        <v>98</v>
      </c>
      <c r="C463" s="29" t="s">
        <v>91</v>
      </c>
      <c r="D463" s="30" t="s">
        <v>92</v>
      </c>
      <c r="E463" s="205"/>
      <c r="F463" s="205"/>
      <c r="G463" s="205"/>
      <c r="H463" s="205"/>
      <c r="I463" s="205"/>
      <c r="J463" s="205"/>
      <c r="K463" s="205"/>
      <c r="L463" s="205"/>
      <c r="M463" s="205"/>
      <c r="N463" s="263"/>
      <c r="O463" s="263"/>
      <c r="P463" s="263"/>
      <c r="Q463" s="263"/>
      <c r="R463" s="263"/>
      <c r="S463" s="263"/>
      <c r="T463" s="263"/>
      <c r="U463" s="263"/>
      <c r="V463" s="263"/>
      <c r="W463" s="263"/>
      <c r="X463" s="263"/>
      <c r="Y463" s="263"/>
      <c r="Z463" s="263"/>
      <c r="AA463" s="263"/>
    </row>
    <row r="464" spans="1:27" ht="16">
      <c r="A464" s="6" t="s">
        <v>36</v>
      </c>
      <c r="B464" s="206" t="e">
        <f>NPV($B$5,C461,D461:Q461)+B461-(Q448/((1+B442)^15))</f>
        <v>#VALUE!</v>
      </c>
      <c r="C464" s="207" t="e">
        <f>NPV($B$5,C461,D461:V461)+B461-(V448/((1+B442)^20))</f>
        <v>#VALUE!</v>
      </c>
      <c r="D464" s="31" t="e">
        <f>NPV($B$5,C461,D461:AA461)+B461-(AA448/((1+B442)^25))</f>
        <v>#VALUE!</v>
      </c>
      <c r="E464" s="208"/>
      <c r="F464" s="5"/>
      <c r="G464" s="5"/>
      <c r="H464" s="5"/>
      <c r="I464" s="5"/>
      <c r="J464" s="5"/>
      <c r="K464" s="5"/>
      <c r="L464" s="5"/>
      <c r="M464" s="5"/>
      <c r="N464" s="5"/>
      <c r="O464" s="5"/>
      <c r="P464" s="5"/>
      <c r="Q464" s="5"/>
      <c r="R464" s="5"/>
      <c r="S464" s="5"/>
      <c r="T464" s="5"/>
      <c r="U464" s="5"/>
      <c r="V464" s="5"/>
      <c r="W464" s="5"/>
      <c r="X464" s="4"/>
      <c r="Y464" s="4"/>
      <c r="Z464" s="4"/>
      <c r="AA464" s="4"/>
    </row>
    <row r="465" spans="1:27">
      <c r="A465" s="264" t="s">
        <v>37</v>
      </c>
      <c r="B465" s="210" t="e">
        <f>(NPV(B442,C462,D462:Q462))+B462-(Q448*$B$4/(1+B442)^15)</f>
        <v>#VALUE!</v>
      </c>
      <c r="C465" s="211" t="e">
        <f>(NPV(B442,C462,D462:V462))+B462-(V448*$B$4/(1+B442)^20)</f>
        <v>#VALUE!</v>
      </c>
      <c r="D465" s="212" t="e">
        <f>(NPV(B442,C462,D462:AA462))+B462-(AA448*$B$4/(1+B442)^25)</f>
        <v>#VALUE!</v>
      </c>
      <c r="E465" s="213"/>
      <c r="F465" s="213"/>
      <c r="G465" s="213"/>
      <c r="H465" s="214"/>
      <c r="I465" s="23"/>
      <c r="J465" s="23"/>
      <c r="K465" s="23"/>
      <c r="L465" s="23"/>
      <c r="M465" s="23"/>
      <c r="N465" s="23"/>
      <c r="O465" s="23"/>
      <c r="P465" s="23"/>
      <c r="Q465" s="23"/>
      <c r="R465" s="23"/>
      <c r="S465" s="23"/>
      <c r="T465" s="23"/>
      <c r="U465" s="23"/>
      <c r="V465" s="23"/>
      <c r="W465" s="23"/>
      <c r="X465" s="4"/>
      <c r="Y465" s="4"/>
      <c r="Z465" s="4"/>
      <c r="AA465" s="4"/>
    </row>
    <row r="466" spans="1:27">
      <c r="A466" s="209" t="s">
        <v>85</v>
      </c>
      <c r="B466" s="210" t="e">
        <f>NPV(B442,C450,D450:Q450)+B450-(Q448*$B$4/(1+B442)^15)</f>
        <v>#VALUE!</v>
      </c>
      <c r="C466" s="211" t="e">
        <f>NPV(B442,C450,D450:V450)+B450-(V448*$B$4/(1+B442)^20)</f>
        <v>#VALUE!</v>
      </c>
      <c r="D466" s="212" t="e">
        <f>NPV(B442,C450,D450:AA450)+B450-(AA448*$B$4/(1+B442)^25)</f>
        <v>#VALUE!</v>
      </c>
      <c r="E466" s="213"/>
      <c r="F466" s="213"/>
      <c r="G466" s="213"/>
      <c r="H466" s="214"/>
      <c r="I466" s="23"/>
      <c r="J466" s="23"/>
      <c r="K466" s="23"/>
      <c r="L466" s="23"/>
      <c r="M466" s="23"/>
      <c r="N466" s="23"/>
      <c r="O466" s="23"/>
      <c r="P466" s="23"/>
      <c r="Q466" s="23"/>
      <c r="R466" s="23"/>
      <c r="S466" s="23"/>
      <c r="T466" s="23"/>
      <c r="U466" s="23"/>
      <c r="V466" s="23"/>
      <c r="W466" s="23"/>
      <c r="X466" s="4"/>
      <c r="Y466" s="4"/>
      <c r="Z466" s="4"/>
      <c r="AA466" s="4"/>
    </row>
    <row r="467" spans="1:27">
      <c r="A467" s="209" t="s">
        <v>86</v>
      </c>
      <c r="B467" s="210" t="e">
        <f>NPV(B442,C454,D454:Q454)+B454</f>
        <v>#VALUE!</v>
      </c>
      <c r="C467" s="211" t="e">
        <f>NPV(B442,C454,D454:V454)+B454</f>
        <v>#VALUE!</v>
      </c>
      <c r="D467" s="212" t="e">
        <f>NPV(B442,C454,D454:AA454)+B454</f>
        <v>#VALUE!</v>
      </c>
      <c r="E467" s="213"/>
      <c r="F467" s="213"/>
      <c r="G467" s="213"/>
      <c r="H467" s="214"/>
      <c r="I467" s="23"/>
      <c r="J467" s="23"/>
      <c r="K467" s="23"/>
      <c r="L467" s="23"/>
      <c r="M467" s="23"/>
      <c r="N467" s="23"/>
      <c r="O467" s="23"/>
      <c r="P467" s="23"/>
      <c r="Q467" s="23"/>
      <c r="R467" s="23"/>
      <c r="S467" s="23"/>
      <c r="T467" s="23"/>
      <c r="U467" s="23"/>
      <c r="V467" s="23"/>
      <c r="W467" s="23"/>
      <c r="X467" s="4"/>
      <c r="Y467" s="4"/>
      <c r="Z467" s="4"/>
      <c r="AA467" s="4"/>
    </row>
    <row r="468" spans="1:27">
      <c r="A468" s="209" t="s">
        <v>90</v>
      </c>
      <c r="B468" s="210" t="e">
        <f>NPV(B442,C459,D459:Q459)+B459</f>
        <v>#VALUE!</v>
      </c>
      <c r="C468" s="211" t="e">
        <f>NPV(B442,C459,D459:V459)+B459</f>
        <v>#VALUE!</v>
      </c>
      <c r="D468" s="212" t="e">
        <f>NPV(B442,C459,D459:AA459)+B459</f>
        <v>#VALUE!</v>
      </c>
      <c r="E468" s="213"/>
      <c r="F468" s="213"/>
      <c r="G468" s="213"/>
      <c r="H468" s="214"/>
      <c r="I468" s="23"/>
      <c r="J468" s="23"/>
      <c r="K468" s="23"/>
      <c r="L468" s="23"/>
      <c r="M468" s="23"/>
      <c r="N468" s="23"/>
      <c r="O468" s="23"/>
      <c r="P468" s="23"/>
      <c r="Q468" s="23"/>
      <c r="R468" s="23"/>
      <c r="S468" s="23"/>
      <c r="T468" s="23"/>
      <c r="U468" s="23"/>
      <c r="V468" s="23"/>
      <c r="W468" s="23"/>
      <c r="X468" s="4"/>
      <c r="Y468" s="4"/>
      <c r="Z468" s="4"/>
      <c r="AA468" s="4"/>
    </row>
    <row r="469" spans="1:27" s="1" customFormat="1" ht="16" thickBot="1">
      <c r="A469" s="215" t="s">
        <v>303</v>
      </c>
      <c r="B469" s="216" t="e">
        <f>((Q448-Q447)/(1+B442)^15)*$B$4</f>
        <v>#VALUE!</v>
      </c>
      <c r="C469" s="217" t="e">
        <f>((V448-V447)/(1+B442)^20)*$B$4</f>
        <v>#VALUE!</v>
      </c>
      <c r="D469" s="218" t="e">
        <f>(AA448/(1+B442)^25)*$B$4</f>
        <v>#VALUE!</v>
      </c>
      <c r="E469" s="219"/>
      <c r="F469" s="219"/>
      <c r="G469" s="219"/>
      <c r="H469" s="23"/>
      <c r="I469" s="23"/>
      <c r="J469" s="23"/>
      <c r="K469" s="23"/>
      <c r="L469" s="23"/>
      <c r="M469" s="23"/>
      <c r="N469" s="23"/>
      <c r="O469" s="23"/>
      <c r="P469" s="23"/>
      <c r="Q469" s="23"/>
      <c r="R469" s="23"/>
      <c r="S469" s="23"/>
      <c r="T469" s="23"/>
      <c r="U469" s="23"/>
      <c r="V469" s="23"/>
      <c r="W469" s="23"/>
      <c r="X469" s="3"/>
      <c r="Y469" s="3"/>
      <c r="Z469" s="3"/>
      <c r="AA469" s="3"/>
    </row>
    <row r="470" spans="1:27" ht="16" thickTop="1">
      <c r="A470" s="4"/>
      <c r="B470" s="480"/>
      <c r="C470" s="480"/>
      <c r="D470" s="480"/>
      <c r="E470" s="5"/>
      <c r="F470" s="5"/>
      <c r="G470" s="5"/>
      <c r="H470" s="5"/>
      <c r="I470" s="5"/>
      <c r="J470" s="5"/>
      <c r="K470" s="5"/>
      <c r="L470" s="5"/>
      <c r="M470" s="5"/>
      <c r="N470" s="5"/>
      <c r="O470" s="5"/>
      <c r="P470" s="5"/>
      <c r="Q470" s="5"/>
      <c r="R470" s="5"/>
      <c r="S470" s="5"/>
      <c r="T470" s="5"/>
      <c r="U470" s="5"/>
      <c r="V470" s="4"/>
      <c r="W470" s="4"/>
      <c r="X470" s="4"/>
      <c r="Y470" s="4"/>
      <c r="Z470" s="4"/>
      <c r="AA470" s="4"/>
    </row>
    <row r="471" spans="1:27" ht="16" thickBot="1">
      <c r="A471" s="4"/>
      <c r="B471" s="481"/>
      <c r="C471" s="13"/>
      <c r="D471" s="486"/>
      <c r="E471" s="5"/>
      <c r="F471" s="5"/>
      <c r="G471" s="5"/>
      <c r="H471" s="5"/>
      <c r="I471" s="5"/>
      <c r="J471" s="5"/>
      <c r="K471" s="5"/>
      <c r="L471" s="5"/>
      <c r="M471" s="5"/>
      <c r="N471" s="5"/>
      <c r="O471" s="5"/>
      <c r="P471" s="5"/>
      <c r="Q471" s="5"/>
      <c r="R471" s="5"/>
      <c r="S471" s="5"/>
      <c r="T471" s="5"/>
      <c r="U471" s="5"/>
      <c r="V471" s="5"/>
      <c r="W471" s="4"/>
      <c r="X471" s="4"/>
      <c r="Y471" s="4"/>
      <c r="Z471" s="4"/>
      <c r="AA471" s="4"/>
    </row>
    <row r="472" spans="1:27" ht="35" customHeight="1" thickTop="1" thickBot="1">
      <c r="A472" s="1014" t="s">
        <v>354</v>
      </c>
      <c r="B472" s="1015"/>
      <c r="C472" s="220"/>
      <c r="D472" s="149"/>
      <c r="E472" s="149"/>
      <c r="F472" s="149"/>
      <c r="G472" s="149"/>
      <c r="H472" s="149"/>
      <c r="I472" s="149"/>
      <c r="J472" s="149"/>
      <c r="K472" s="149"/>
      <c r="L472" s="149"/>
      <c r="M472" s="149"/>
      <c r="N472" s="149"/>
      <c r="O472" s="149"/>
      <c r="P472" s="149"/>
      <c r="Q472" s="149"/>
      <c r="R472" s="149"/>
      <c r="S472" s="149"/>
      <c r="T472" s="149"/>
      <c r="U472" s="149"/>
      <c r="V472" s="149"/>
      <c r="W472" s="4"/>
      <c r="X472" s="4"/>
      <c r="Y472" s="4"/>
      <c r="Z472" s="4"/>
      <c r="AA472" s="4"/>
    </row>
    <row r="473" spans="1:27">
      <c r="A473" s="150" t="s">
        <v>83</v>
      </c>
      <c r="B473" s="657">
        <f>IF(Inputs!E34="No","",Inputs!$D$16)</f>
        <v>0.18239999999999998</v>
      </c>
      <c r="C473" s="152" t="s">
        <v>193</v>
      </c>
      <c r="D473" s="255"/>
      <c r="E473" s="149"/>
      <c r="F473" s="149"/>
      <c r="G473" s="149"/>
      <c r="H473" s="149"/>
      <c r="I473" s="149"/>
      <c r="J473" s="149"/>
      <c r="K473" s="149"/>
      <c r="L473" s="149"/>
      <c r="M473" s="149"/>
      <c r="N473" s="149"/>
      <c r="O473" s="149"/>
      <c r="P473" s="149"/>
      <c r="Q473" s="149"/>
      <c r="R473" s="149"/>
      <c r="S473" s="149"/>
      <c r="T473" s="149"/>
      <c r="U473" s="149"/>
      <c r="V473" s="149"/>
      <c r="W473" s="4"/>
      <c r="X473" s="4"/>
      <c r="Y473" s="4"/>
      <c r="Z473" s="4"/>
      <c r="AA473" s="4"/>
    </row>
    <row r="474" spans="1:27">
      <c r="A474" s="150" t="s">
        <v>221</v>
      </c>
      <c r="B474" s="151">
        <f>'Regional Fuel Costs'!C49</f>
        <v>5.5999999999999999E-3</v>
      </c>
      <c r="C474" s="152" t="s">
        <v>193</v>
      </c>
      <c r="D474" s="255"/>
      <c r="E474" s="149"/>
      <c r="F474" s="149"/>
      <c r="G474" s="149"/>
      <c r="H474" s="149"/>
      <c r="I474" s="149"/>
      <c r="J474" s="149"/>
      <c r="K474" s="149"/>
      <c r="L474" s="149"/>
      <c r="M474" s="149"/>
      <c r="N474" s="149"/>
      <c r="O474" s="149"/>
      <c r="P474" s="149"/>
      <c r="Q474" s="149"/>
      <c r="R474" s="149"/>
      <c r="S474" s="149"/>
      <c r="T474" s="149"/>
      <c r="U474" s="149"/>
      <c r="V474" s="149"/>
      <c r="W474" s="4"/>
      <c r="X474" s="4"/>
      <c r="Y474" s="4"/>
      <c r="Z474" s="4"/>
      <c r="AA474" s="4"/>
    </row>
    <row r="475" spans="1:27" ht="16">
      <c r="A475" s="150" t="s">
        <v>412</v>
      </c>
      <c r="B475" s="658">
        <f>Inputs!$D$11</f>
        <v>12</v>
      </c>
      <c r="C475" s="154" t="s">
        <v>290</v>
      </c>
      <c r="D475" s="255"/>
      <c r="E475" s="149"/>
      <c r="F475" s="149"/>
      <c r="G475" s="149"/>
      <c r="H475" s="149"/>
      <c r="I475" s="149"/>
      <c r="J475" s="149"/>
      <c r="K475" s="149"/>
      <c r="L475" s="149"/>
      <c r="M475" s="149"/>
      <c r="N475" s="149"/>
      <c r="O475" s="149"/>
      <c r="P475" s="149"/>
      <c r="Q475" s="149"/>
      <c r="R475" s="149"/>
      <c r="S475" s="149"/>
      <c r="T475" s="149"/>
      <c r="U475" s="149"/>
      <c r="V475" s="149"/>
      <c r="W475" s="4"/>
      <c r="X475" s="4"/>
      <c r="Y475" s="4"/>
      <c r="Z475" s="4"/>
      <c r="AA475" s="4"/>
    </row>
    <row r="476" spans="1:27">
      <c r="A476" s="150" t="s">
        <v>188</v>
      </c>
      <c r="B476" s="659">
        <f>Inputs!K34</f>
        <v>3.5</v>
      </c>
      <c r="C476" s="155" t="s">
        <v>196</v>
      </c>
      <c r="D476" s="255"/>
      <c r="E476" s="149"/>
      <c r="F476" s="149"/>
      <c r="G476" s="149"/>
      <c r="H476" s="149"/>
      <c r="I476" s="149"/>
      <c r="J476" s="149"/>
      <c r="K476" s="149"/>
      <c r="L476" s="149"/>
      <c r="M476" s="149"/>
      <c r="N476" s="149"/>
      <c r="O476" s="149"/>
      <c r="P476" s="149"/>
      <c r="Q476" s="149"/>
      <c r="R476" s="149"/>
      <c r="S476" s="149"/>
      <c r="T476" s="149"/>
      <c r="U476" s="149"/>
      <c r="V476" s="149"/>
      <c r="W476" s="4"/>
      <c r="X476" s="4"/>
      <c r="Y476" s="4"/>
      <c r="Z476" s="4"/>
      <c r="AA476" s="4"/>
    </row>
    <row r="477" spans="1:27">
      <c r="A477" s="150" t="s">
        <v>187</v>
      </c>
      <c r="B477" s="156">
        <f>'System Efficiencies'!C12</f>
        <v>0.95</v>
      </c>
      <c r="C477" s="155" t="s">
        <v>196</v>
      </c>
      <c r="D477" s="255"/>
      <c r="E477" s="149"/>
      <c r="F477" s="149"/>
      <c r="G477" s="149"/>
      <c r="H477" s="149"/>
      <c r="I477" s="149"/>
      <c r="J477" s="149"/>
      <c r="K477" s="149"/>
      <c r="L477" s="149"/>
      <c r="M477" s="149"/>
      <c r="N477" s="149"/>
      <c r="O477" s="149"/>
      <c r="P477" s="149"/>
      <c r="Q477" s="149"/>
      <c r="R477" s="149"/>
      <c r="S477" s="149"/>
      <c r="T477" s="149"/>
      <c r="U477" s="149"/>
      <c r="V477" s="149"/>
      <c r="W477" s="4"/>
      <c r="X477" s="4"/>
      <c r="Y477" s="4"/>
      <c r="Z477" s="4"/>
      <c r="AA477" s="4"/>
    </row>
    <row r="478" spans="1:27">
      <c r="A478" s="150" t="s">
        <v>189</v>
      </c>
      <c r="B478" s="659">
        <f>B476*B477</f>
        <v>3.3249999999999997</v>
      </c>
      <c r="C478" s="155" t="s">
        <v>196</v>
      </c>
      <c r="D478" s="255"/>
      <c r="E478" s="149"/>
      <c r="F478" s="149"/>
      <c r="G478" s="149"/>
      <c r="H478" s="149"/>
      <c r="I478" s="149"/>
      <c r="J478" s="149"/>
      <c r="K478" s="149"/>
      <c r="L478" s="149"/>
      <c r="M478" s="149"/>
      <c r="N478" s="149"/>
      <c r="O478" s="149"/>
      <c r="P478" s="149"/>
      <c r="Q478" s="149"/>
      <c r="R478" s="149"/>
      <c r="S478" s="149"/>
      <c r="T478" s="149"/>
      <c r="U478" s="149"/>
      <c r="V478" s="149"/>
      <c r="W478" s="4"/>
      <c r="X478" s="4"/>
      <c r="Y478" s="4"/>
      <c r="Z478" s="4"/>
      <c r="AA478" s="4"/>
    </row>
    <row r="479" spans="1:27" ht="16">
      <c r="A479" s="256" t="s">
        <v>413</v>
      </c>
      <c r="B479" s="658" t="str">
        <f>Inputs!$D$13</f>
        <v>N/A</v>
      </c>
      <c r="C479" s="154" t="s">
        <v>290</v>
      </c>
      <c r="D479" s="255"/>
      <c r="E479" s="149"/>
      <c r="F479" s="149"/>
      <c r="G479" s="149"/>
      <c r="H479" s="149"/>
      <c r="I479" s="149"/>
      <c r="J479" s="149"/>
      <c r="K479" s="149"/>
      <c r="L479" s="149"/>
      <c r="M479" s="149"/>
      <c r="N479" s="149"/>
      <c r="O479" s="149"/>
      <c r="P479" s="149"/>
      <c r="Q479" s="149"/>
      <c r="R479" s="149"/>
      <c r="S479" s="149"/>
      <c r="T479" s="149"/>
      <c r="U479" s="149"/>
      <c r="V479" s="149"/>
      <c r="W479" s="4"/>
      <c r="X479" s="4"/>
      <c r="Y479" s="4"/>
      <c r="Z479" s="4"/>
      <c r="AA479" s="4"/>
    </row>
    <row r="480" spans="1:27">
      <c r="A480" s="256" t="s">
        <v>190</v>
      </c>
      <c r="B480" s="659" t="str">
        <f>Inputs!M34</f>
        <v>N/A</v>
      </c>
      <c r="C480" s="155" t="s">
        <v>196</v>
      </c>
      <c r="D480" s="255"/>
      <c r="E480" s="149"/>
      <c r="F480" s="149"/>
      <c r="G480" s="149"/>
      <c r="H480" s="149"/>
      <c r="I480" s="149"/>
      <c r="J480" s="149"/>
      <c r="K480" s="149"/>
      <c r="L480" s="149"/>
      <c r="M480" s="149"/>
      <c r="N480" s="149"/>
      <c r="O480" s="149"/>
      <c r="P480" s="149"/>
      <c r="Q480" s="149"/>
      <c r="R480" s="149"/>
      <c r="S480" s="149"/>
      <c r="T480" s="149"/>
      <c r="U480" s="149"/>
      <c r="V480" s="149"/>
      <c r="W480" s="4"/>
      <c r="X480" s="4"/>
      <c r="Y480" s="4"/>
      <c r="Z480" s="4"/>
      <c r="AA480" s="4"/>
    </row>
    <row r="481" spans="1:27">
      <c r="A481" s="256" t="s">
        <v>191</v>
      </c>
      <c r="B481" s="156">
        <f>'System Efficiencies'!C13</f>
        <v>0.95</v>
      </c>
      <c r="C481" s="155" t="s">
        <v>196</v>
      </c>
      <c r="D481" s="255"/>
      <c r="E481" s="149"/>
      <c r="F481" s="149"/>
      <c r="G481" s="149"/>
      <c r="H481" s="149"/>
      <c r="I481" s="149"/>
      <c r="J481" s="149"/>
      <c r="K481" s="149"/>
      <c r="L481" s="149"/>
      <c r="M481" s="149"/>
      <c r="N481" s="149"/>
      <c r="O481" s="149"/>
      <c r="P481" s="149"/>
      <c r="Q481" s="149"/>
      <c r="R481" s="149"/>
      <c r="S481" s="149"/>
      <c r="T481" s="149"/>
      <c r="U481" s="149"/>
      <c r="V481" s="149"/>
      <c r="W481" s="4"/>
      <c r="X481" s="4"/>
      <c r="Y481" s="4"/>
      <c r="Z481" s="4"/>
      <c r="AA481" s="4"/>
    </row>
    <row r="482" spans="1:27">
      <c r="A482" s="256" t="s">
        <v>192</v>
      </c>
      <c r="B482" s="659" t="e">
        <f>B480*B481</f>
        <v>#VALUE!</v>
      </c>
      <c r="C482" s="155" t="s">
        <v>196</v>
      </c>
      <c r="D482" s="255"/>
      <c r="E482" s="149"/>
      <c r="F482" s="149"/>
      <c r="G482" s="149"/>
      <c r="H482" s="149"/>
      <c r="I482" s="149"/>
      <c r="J482" s="149"/>
      <c r="K482" s="149"/>
      <c r="L482" s="149"/>
      <c r="M482" s="149"/>
      <c r="N482" s="149"/>
      <c r="O482" s="149"/>
      <c r="P482" s="149"/>
      <c r="Q482" s="149"/>
      <c r="R482" s="149"/>
      <c r="S482" s="149"/>
      <c r="T482" s="149"/>
      <c r="U482" s="149"/>
      <c r="V482" s="149"/>
      <c r="W482" s="4"/>
      <c r="X482" s="4"/>
      <c r="Y482" s="4"/>
      <c r="Z482" s="4"/>
      <c r="AA482" s="4"/>
    </row>
    <row r="483" spans="1:27" ht="16">
      <c r="A483" s="150" t="s">
        <v>82</v>
      </c>
      <c r="B483" s="658">
        <f>Inputs!I34</f>
        <v>282</v>
      </c>
      <c r="C483" s="157" t="s">
        <v>195</v>
      </c>
      <c r="D483" s="255"/>
      <c r="E483" s="149"/>
      <c r="F483" s="149"/>
      <c r="G483" s="149"/>
      <c r="H483" s="149"/>
      <c r="I483" s="149"/>
      <c r="J483" s="149"/>
      <c r="K483" s="149"/>
      <c r="L483" s="149"/>
      <c r="M483" s="149"/>
      <c r="N483" s="149"/>
      <c r="O483" s="149"/>
      <c r="P483" s="149"/>
      <c r="Q483" s="149"/>
      <c r="R483" s="257"/>
      <c r="S483" s="257"/>
      <c r="T483" s="257"/>
      <c r="U483" s="257"/>
      <c r="V483" s="258"/>
      <c r="W483" s="258"/>
      <c r="X483" s="258"/>
      <c r="Y483" s="258"/>
      <c r="Z483" s="258"/>
      <c r="AA483" s="258"/>
    </row>
    <row r="484" spans="1:27">
      <c r="A484" s="150" t="s">
        <v>81</v>
      </c>
      <c r="B484" s="153">
        <f>'Capital Cost Structure'!E83</f>
        <v>15</v>
      </c>
      <c r="C484" s="157" t="s">
        <v>195</v>
      </c>
      <c r="D484" s="255"/>
      <c r="E484" s="149"/>
      <c r="F484" s="149"/>
      <c r="G484" s="149"/>
      <c r="H484" s="149"/>
      <c r="I484" s="149"/>
      <c r="J484" s="149"/>
      <c r="K484" s="149"/>
      <c r="L484" s="149"/>
      <c r="M484" s="149"/>
      <c r="N484" s="149"/>
      <c r="O484" s="149"/>
      <c r="P484" s="149"/>
      <c r="Q484" s="149"/>
      <c r="R484" s="149"/>
      <c r="S484" s="149"/>
      <c r="T484" s="149"/>
      <c r="U484" s="149"/>
      <c r="V484" s="149"/>
      <c r="W484" s="4"/>
      <c r="X484" s="4"/>
      <c r="Y484" s="4"/>
      <c r="Z484" s="4"/>
      <c r="AA484" s="4"/>
    </row>
    <row r="485" spans="1:27">
      <c r="A485" s="150" t="s">
        <v>32</v>
      </c>
      <c r="B485" s="156">
        <f>$B$5</f>
        <v>0.05</v>
      </c>
      <c r="C485" s="248" t="s">
        <v>194</v>
      </c>
      <c r="D485" s="255"/>
      <c r="E485" s="149"/>
      <c r="F485" s="149"/>
      <c r="G485" s="149"/>
      <c r="H485" s="149"/>
      <c r="I485" s="149"/>
      <c r="J485" s="149"/>
      <c r="K485" s="149"/>
      <c r="L485" s="149"/>
      <c r="M485" s="149"/>
      <c r="N485" s="149"/>
      <c r="O485" s="149"/>
      <c r="P485" s="149"/>
      <c r="Q485" s="149"/>
      <c r="R485" s="149"/>
      <c r="S485" s="149"/>
      <c r="T485" s="149"/>
      <c r="U485" s="149"/>
      <c r="V485" s="149"/>
      <c r="W485" s="4"/>
      <c r="X485" s="4"/>
      <c r="Y485" s="4"/>
      <c r="Z485" s="4"/>
      <c r="AA485" s="4"/>
    </row>
    <row r="486" spans="1:27" ht="16" thickBot="1">
      <c r="A486" s="159" t="s">
        <v>405</v>
      </c>
      <c r="B486" s="547">
        <f>Inputs!F34</f>
        <v>0</v>
      </c>
      <c r="C486" s="249" t="s">
        <v>194</v>
      </c>
      <c r="D486" s="160"/>
      <c r="E486" s="161"/>
      <c r="F486" s="161"/>
      <c r="G486" s="161"/>
      <c r="H486" s="161"/>
      <c r="I486" s="161"/>
      <c r="J486" s="161"/>
      <c r="K486" s="161"/>
      <c r="L486" s="161"/>
      <c r="M486" s="161"/>
      <c r="N486" s="161"/>
      <c r="O486" s="161"/>
      <c r="P486" s="161"/>
      <c r="Q486" s="161"/>
      <c r="R486" s="161"/>
      <c r="S486" s="161"/>
      <c r="T486" s="161"/>
      <c r="U486" s="161"/>
      <c r="V486" s="161"/>
      <c r="W486" s="4"/>
      <c r="X486" s="4"/>
      <c r="Y486" s="4"/>
      <c r="Z486" s="4"/>
      <c r="AA486" s="4"/>
    </row>
    <row r="487" spans="1:27" ht="17" thickTop="1" thickBot="1">
      <c r="A487" s="6" t="s">
        <v>0</v>
      </c>
      <c r="B487" s="139" t="s">
        <v>51</v>
      </c>
      <c r="C487" s="117" t="s">
        <v>1</v>
      </c>
      <c r="D487" s="117" t="s">
        <v>2</v>
      </c>
      <c r="E487" s="117" t="s">
        <v>3</v>
      </c>
      <c r="F487" s="117" t="s">
        <v>4</v>
      </c>
      <c r="G487" s="117" t="s">
        <v>5</v>
      </c>
      <c r="H487" s="117" t="s">
        <v>6</v>
      </c>
      <c r="I487" s="117" t="s">
        <v>7</v>
      </c>
      <c r="J487" s="117" t="s">
        <v>8</v>
      </c>
      <c r="K487" s="117" t="s">
        <v>9</v>
      </c>
      <c r="L487" s="117" t="s">
        <v>10</v>
      </c>
      <c r="M487" s="117" t="s">
        <v>11</v>
      </c>
      <c r="N487" s="117" t="s">
        <v>12</v>
      </c>
      <c r="O487" s="117" t="s">
        <v>13</v>
      </c>
      <c r="P487" s="117" t="s">
        <v>14</v>
      </c>
      <c r="Q487" s="162" t="s">
        <v>15</v>
      </c>
      <c r="R487" s="139" t="s">
        <v>16</v>
      </c>
      <c r="S487" s="117" t="s">
        <v>17</v>
      </c>
      <c r="T487" s="117" t="s">
        <v>18</v>
      </c>
      <c r="U487" s="117" t="s">
        <v>19</v>
      </c>
      <c r="V487" s="163" t="s">
        <v>20</v>
      </c>
      <c r="W487" s="164" t="s">
        <v>93</v>
      </c>
      <c r="X487" s="165" t="s">
        <v>94</v>
      </c>
      <c r="Y487" s="165" t="s">
        <v>95</v>
      </c>
      <c r="Z487" s="165" t="s">
        <v>96</v>
      </c>
      <c r="AA487" s="166" t="s">
        <v>97</v>
      </c>
    </row>
    <row r="488" spans="1:27" ht="16">
      <c r="A488" s="167" t="s">
        <v>314</v>
      </c>
      <c r="B488" s="168">
        <f>B483*(1-Inputs!G34)</f>
        <v>282</v>
      </c>
      <c r="C488" s="169"/>
      <c r="D488" s="169"/>
      <c r="E488" s="169"/>
      <c r="F488" s="169"/>
      <c r="G488" s="169"/>
      <c r="H488" s="169"/>
      <c r="I488" s="169"/>
      <c r="J488" s="169"/>
      <c r="K488" s="169"/>
      <c r="L488" s="169"/>
      <c r="M488" s="169"/>
      <c r="N488" s="169"/>
      <c r="O488" s="169"/>
      <c r="P488" s="169"/>
      <c r="Q488" s="170"/>
      <c r="R488" s="171"/>
      <c r="S488" s="169"/>
      <c r="T488" s="169"/>
      <c r="U488" s="169"/>
      <c r="V488" s="172"/>
      <c r="W488" s="169"/>
      <c r="X488" s="169"/>
      <c r="Y488" s="169"/>
      <c r="Z488" s="169"/>
      <c r="AA488" s="173"/>
    </row>
    <row r="489" spans="1:27">
      <c r="A489" s="209" t="s">
        <v>270</v>
      </c>
      <c r="B489" s="139"/>
      <c r="C489" s="7"/>
      <c r="D489" s="7"/>
      <c r="E489" s="7"/>
      <c r="F489" s="7"/>
      <c r="G489" s="269"/>
      <c r="H489" s="127"/>
      <c r="I489" s="127"/>
      <c r="J489" s="127"/>
      <c r="K489" s="127"/>
      <c r="L489" s="269"/>
      <c r="M489" s="127"/>
      <c r="N489" s="127"/>
      <c r="O489" s="127"/>
      <c r="P489" s="127"/>
      <c r="Q489" s="270" t="s">
        <v>403</v>
      </c>
      <c r="R489" s="271"/>
      <c r="S489" s="127"/>
      <c r="T489" s="127"/>
      <c r="U489" s="127"/>
      <c r="V489" s="179"/>
      <c r="W489" s="7"/>
      <c r="X489" s="7"/>
      <c r="Y489" s="7"/>
      <c r="Z489" s="7"/>
      <c r="AA489" s="175"/>
    </row>
    <row r="490" spans="1:27" ht="16">
      <c r="A490" s="266" t="s">
        <v>269</v>
      </c>
      <c r="B490" s="139">
        <v>0</v>
      </c>
      <c r="C490" s="7"/>
      <c r="D490" s="7"/>
      <c r="E490" s="7"/>
      <c r="F490" s="7"/>
      <c r="G490" s="7"/>
      <c r="H490" s="7"/>
      <c r="I490" s="7"/>
      <c r="J490" s="7"/>
      <c r="K490" s="7"/>
      <c r="L490" s="7"/>
      <c r="M490" s="7"/>
      <c r="N490" s="7"/>
      <c r="O490" s="7"/>
      <c r="P490" s="7"/>
      <c r="Q490" s="653">
        <f>('Capital Cost Structure'!F83*B483)</f>
        <v>282</v>
      </c>
      <c r="R490" s="174"/>
      <c r="S490" s="7"/>
      <c r="T490" s="7"/>
      <c r="U490" s="7"/>
      <c r="V490" s="179"/>
      <c r="W490" s="7"/>
      <c r="X490" s="7"/>
      <c r="Y490" s="7"/>
      <c r="Z490" s="7"/>
      <c r="AA490" s="175"/>
    </row>
    <row r="491" spans="1:27">
      <c r="A491" s="209" t="s">
        <v>50</v>
      </c>
      <c r="B491" s="139">
        <f>B488</f>
        <v>282</v>
      </c>
      <c r="C491" s="177">
        <f>B491+C490-($B$488/$B$484)</f>
        <v>263.2</v>
      </c>
      <c r="D491" s="177">
        <f t="shared" ref="D491:AA491" si="155">C491+D490-($B$488/$B$484)</f>
        <v>244.39999999999998</v>
      </c>
      <c r="E491" s="177">
        <f t="shared" si="155"/>
        <v>225.59999999999997</v>
      </c>
      <c r="F491" s="177">
        <f t="shared" si="155"/>
        <v>206.79999999999995</v>
      </c>
      <c r="G491" s="177">
        <f t="shared" si="155"/>
        <v>187.99999999999994</v>
      </c>
      <c r="H491" s="177">
        <f t="shared" si="155"/>
        <v>169.19999999999993</v>
      </c>
      <c r="I491" s="177">
        <f t="shared" si="155"/>
        <v>150.39999999999992</v>
      </c>
      <c r="J491" s="177">
        <f t="shared" si="155"/>
        <v>131.59999999999991</v>
      </c>
      <c r="K491" s="177">
        <f t="shared" si="155"/>
        <v>112.79999999999991</v>
      </c>
      <c r="L491" s="177">
        <f t="shared" si="155"/>
        <v>93.999999999999915</v>
      </c>
      <c r="M491" s="177">
        <f t="shared" si="155"/>
        <v>75.199999999999918</v>
      </c>
      <c r="N491" s="177">
        <f t="shared" si="155"/>
        <v>56.39999999999992</v>
      </c>
      <c r="O491" s="177">
        <f t="shared" si="155"/>
        <v>37.599999999999923</v>
      </c>
      <c r="P491" s="177">
        <f t="shared" si="155"/>
        <v>18.799999999999923</v>
      </c>
      <c r="Q491" s="244">
        <f t="shared" si="155"/>
        <v>281.99999999999989</v>
      </c>
      <c r="R491" s="245">
        <f t="shared" si="155"/>
        <v>263.19999999999987</v>
      </c>
      <c r="S491" s="177">
        <f t="shared" si="155"/>
        <v>244.39999999999986</v>
      </c>
      <c r="T491" s="177">
        <f t="shared" si="155"/>
        <v>225.59999999999985</v>
      </c>
      <c r="U491" s="177">
        <f t="shared" si="155"/>
        <v>206.79999999999984</v>
      </c>
      <c r="V491" s="293">
        <f t="shared" si="155"/>
        <v>187.99999999999983</v>
      </c>
      <c r="W491" s="177">
        <f t="shared" si="155"/>
        <v>169.19999999999982</v>
      </c>
      <c r="X491" s="177">
        <f t="shared" si="155"/>
        <v>150.39999999999981</v>
      </c>
      <c r="Y491" s="177">
        <f t="shared" si="155"/>
        <v>131.5999999999998</v>
      </c>
      <c r="Z491" s="177">
        <f t="shared" si="155"/>
        <v>112.7999999999998</v>
      </c>
      <c r="AA491" s="178">
        <f t="shared" si="155"/>
        <v>93.999999999999801</v>
      </c>
    </row>
    <row r="492" spans="1:27" ht="16">
      <c r="A492" s="180" t="s">
        <v>22</v>
      </c>
      <c r="B492" s="183">
        <f>B488+B490+(B486/$B$4)</f>
        <v>282</v>
      </c>
      <c r="C492" s="181">
        <f>C488+C490</f>
        <v>0</v>
      </c>
      <c r="D492" s="181">
        <f>D488+D490</f>
        <v>0</v>
      </c>
      <c r="E492" s="181">
        <f t="shared" ref="E492:AA492" si="156">E488+E490</f>
        <v>0</v>
      </c>
      <c r="F492" s="181">
        <f t="shared" si="156"/>
        <v>0</v>
      </c>
      <c r="G492" s="181">
        <f>G488+G490</f>
        <v>0</v>
      </c>
      <c r="H492" s="181">
        <f t="shared" si="156"/>
        <v>0</v>
      </c>
      <c r="I492" s="181">
        <f t="shared" si="156"/>
        <v>0</v>
      </c>
      <c r="J492" s="181">
        <f t="shared" si="156"/>
        <v>0</v>
      </c>
      <c r="K492" s="181">
        <f t="shared" si="156"/>
        <v>0</v>
      </c>
      <c r="L492" s="181">
        <f t="shared" si="156"/>
        <v>0</v>
      </c>
      <c r="M492" s="181">
        <f t="shared" si="156"/>
        <v>0</v>
      </c>
      <c r="N492" s="181">
        <f t="shared" si="156"/>
        <v>0</v>
      </c>
      <c r="O492" s="181">
        <f t="shared" si="156"/>
        <v>0</v>
      </c>
      <c r="P492" s="181">
        <f t="shared" si="156"/>
        <v>0</v>
      </c>
      <c r="Q492" s="182">
        <f t="shared" si="156"/>
        <v>282</v>
      </c>
      <c r="R492" s="183">
        <f t="shared" si="156"/>
        <v>0</v>
      </c>
      <c r="S492" s="181">
        <f t="shared" si="156"/>
        <v>0</v>
      </c>
      <c r="T492" s="181">
        <f t="shared" si="156"/>
        <v>0</v>
      </c>
      <c r="U492" s="181">
        <f t="shared" si="156"/>
        <v>0</v>
      </c>
      <c r="V492" s="182">
        <f t="shared" si="156"/>
        <v>0</v>
      </c>
      <c r="W492" s="181">
        <f t="shared" si="156"/>
        <v>0</v>
      </c>
      <c r="X492" s="181">
        <f t="shared" si="156"/>
        <v>0</v>
      </c>
      <c r="Y492" s="181">
        <f t="shared" si="156"/>
        <v>0</v>
      </c>
      <c r="Z492" s="181">
        <f t="shared" si="156"/>
        <v>0</v>
      </c>
      <c r="AA492" s="182">
        <f t="shared" si="156"/>
        <v>0</v>
      </c>
    </row>
    <row r="493" spans="1:27" s="18" customFormat="1" ht="16" thickBot="1">
      <c r="A493" s="184" t="s">
        <v>87</v>
      </c>
      <c r="B493" s="185">
        <f>(B492*$B$4)</f>
        <v>282000</v>
      </c>
      <c r="C493" s="186">
        <f t="shared" ref="C493:L493" si="157">C492*$B$4</f>
        <v>0</v>
      </c>
      <c r="D493" s="186">
        <f t="shared" si="157"/>
        <v>0</v>
      </c>
      <c r="E493" s="186">
        <f t="shared" si="157"/>
        <v>0</v>
      </c>
      <c r="F493" s="186">
        <f t="shared" si="157"/>
        <v>0</v>
      </c>
      <c r="G493" s="186">
        <f t="shared" si="157"/>
        <v>0</v>
      </c>
      <c r="H493" s="186">
        <f t="shared" si="157"/>
        <v>0</v>
      </c>
      <c r="I493" s="186">
        <f t="shared" si="157"/>
        <v>0</v>
      </c>
      <c r="J493" s="186">
        <f t="shared" si="157"/>
        <v>0</v>
      </c>
      <c r="K493" s="186">
        <f t="shared" si="157"/>
        <v>0</v>
      </c>
      <c r="L493" s="186">
        <f t="shared" si="157"/>
        <v>0</v>
      </c>
      <c r="M493" s="186">
        <f t="shared" ref="M493:V493" si="158">M492*$B$4</f>
        <v>0</v>
      </c>
      <c r="N493" s="186">
        <f t="shared" si="158"/>
        <v>0</v>
      </c>
      <c r="O493" s="186">
        <f t="shared" si="158"/>
        <v>0</v>
      </c>
      <c r="P493" s="186">
        <f t="shared" si="158"/>
        <v>0</v>
      </c>
      <c r="Q493" s="187">
        <f>Q492*$B$4</f>
        <v>282000</v>
      </c>
      <c r="R493" s="185">
        <f t="shared" si="158"/>
        <v>0</v>
      </c>
      <c r="S493" s="186">
        <f t="shared" si="158"/>
        <v>0</v>
      </c>
      <c r="T493" s="186">
        <f t="shared" si="158"/>
        <v>0</v>
      </c>
      <c r="U493" s="186">
        <f t="shared" si="158"/>
        <v>0</v>
      </c>
      <c r="V493" s="188">
        <f t="shared" si="158"/>
        <v>0</v>
      </c>
      <c r="W493" s="186">
        <f>W492*$B$4</f>
        <v>0</v>
      </c>
      <c r="X493" s="186">
        <f>X492*$B$4</f>
        <v>0</v>
      </c>
      <c r="Y493" s="186">
        <f>Y492*$B$4</f>
        <v>0</v>
      </c>
      <c r="Z493" s="186">
        <f>Z492*$B$4</f>
        <v>0</v>
      </c>
      <c r="AA493" s="189">
        <f>AA492*$B$4</f>
        <v>0</v>
      </c>
    </row>
    <row r="494" spans="1:27">
      <c r="A494" s="6"/>
      <c r="B494" s="139"/>
      <c r="C494" s="7"/>
      <c r="D494" s="7"/>
      <c r="E494" s="7"/>
      <c r="F494" s="7"/>
      <c r="G494" s="7"/>
      <c r="H494" s="7"/>
      <c r="I494" s="7"/>
      <c r="J494" s="7"/>
      <c r="K494" s="7"/>
      <c r="L494" s="7"/>
      <c r="M494" s="7"/>
      <c r="N494" s="7"/>
      <c r="O494" s="7"/>
      <c r="P494" s="7"/>
      <c r="Q494" s="104"/>
      <c r="R494" s="174"/>
      <c r="S494" s="7"/>
      <c r="T494" s="7"/>
      <c r="U494" s="7"/>
      <c r="V494" s="179"/>
      <c r="W494" s="7"/>
      <c r="X494" s="7"/>
      <c r="Y494" s="7"/>
      <c r="Z494" s="7"/>
      <c r="AA494" s="175"/>
    </row>
    <row r="495" spans="1:27">
      <c r="A495" s="209" t="s">
        <v>21</v>
      </c>
      <c r="B495" s="139">
        <v>0</v>
      </c>
      <c r="C495" s="17">
        <v>0.01</v>
      </c>
      <c r="D495" s="17">
        <f>C495+(0.01/($B$484-1))</f>
        <v>1.0714285714285714E-2</v>
      </c>
      <c r="E495" s="17">
        <f>D495+(0.01/($B$484-1))</f>
        <v>1.1428571428571429E-2</v>
      </c>
      <c r="F495" s="17">
        <f t="shared" ref="F495:AA495" si="159">E495+(0.01/($B$484-1))</f>
        <v>1.2142857142857143E-2</v>
      </c>
      <c r="G495" s="17">
        <f t="shared" si="159"/>
        <v>1.2857142857142857E-2</v>
      </c>
      <c r="H495" s="17">
        <f t="shared" si="159"/>
        <v>1.3571428571428571E-2</v>
      </c>
      <c r="I495" s="17">
        <f t="shared" si="159"/>
        <v>1.4285714285714285E-2</v>
      </c>
      <c r="J495" s="17">
        <f t="shared" si="159"/>
        <v>1.4999999999999999E-2</v>
      </c>
      <c r="K495" s="17">
        <f t="shared" si="159"/>
        <v>1.5714285714285715E-2</v>
      </c>
      <c r="L495" s="17">
        <f t="shared" si="159"/>
        <v>1.6428571428571431E-2</v>
      </c>
      <c r="M495" s="17">
        <f t="shared" si="159"/>
        <v>1.7142857142857147E-2</v>
      </c>
      <c r="N495" s="17">
        <f>M495+(0.01/($B$484-1))</f>
        <v>1.7857142857142863E-2</v>
      </c>
      <c r="O495" s="17">
        <f t="shared" si="159"/>
        <v>1.8571428571428579E-2</v>
      </c>
      <c r="P495" s="17">
        <f t="shared" si="159"/>
        <v>1.9285714285714295E-2</v>
      </c>
      <c r="Q495" s="190">
        <f t="shared" si="159"/>
        <v>2.0000000000000011E-2</v>
      </c>
      <c r="R495" s="17">
        <v>0.01</v>
      </c>
      <c r="S495" s="17">
        <f t="shared" si="159"/>
        <v>1.0714285714285714E-2</v>
      </c>
      <c r="T495" s="17">
        <f>S495+(0.01/($B$484-1))</f>
        <v>1.1428571428571429E-2</v>
      </c>
      <c r="U495" s="17">
        <f t="shared" si="159"/>
        <v>1.2142857142857143E-2</v>
      </c>
      <c r="V495" s="192">
        <f t="shared" si="159"/>
        <v>1.2857142857142857E-2</v>
      </c>
      <c r="W495" s="17">
        <f t="shared" si="159"/>
        <v>1.3571428571428571E-2</v>
      </c>
      <c r="X495" s="17">
        <f t="shared" si="159"/>
        <v>1.4285714285714285E-2</v>
      </c>
      <c r="Y495" s="17">
        <f t="shared" si="159"/>
        <v>1.4999999999999999E-2</v>
      </c>
      <c r="Z495" s="17">
        <f t="shared" si="159"/>
        <v>1.5714285714285715E-2</v>
      </c>
      <c r="AA495" s="193">
        <f t="shared" si="159"/>
        <v>1.6428571428571431E-2</v>
      </c>
    </row>
    <row r="496" spans="1:27" ht="16">
      <c r="A496" s="180" t="s">
        <v>23</v>
      </c>
      <c r="B496" s="194">
        <f>B495*$B$483</f>
        <v>0</v>
      </c>
      <c r="C496" s="194">
        <f>C495*$B$483</f>
        <v>2.82</v>
      </c>
      <c r="D496" s="194">
        <f>D495*$B$483</f>
        <v>3.0214285714285714</v>
      </c>
      <c r="E496" s="194">
        <f t="shared" ref="E496:AA496" si="160">E495*$B$483</f>
        <v>3.2228571428571429</v>
      </c>
      <c r="F496" s="194">
        <f>F495*$B$483</f>
        <v>3.4242857142857144</v>
      </c>
      <c r="G496" s="194">
        <f>G495*$B$483</f>
        <v>3.6257142857142854</v>
      </c>
      <c r="H496" s="194">
        <f t="shared" si="160"/>
        <v>3.827142857142857</v>
      </c>
      <c r="I496" s="194">
        <f t="shared" si="160"/>
        <v>4.0285714285714285</v>
      </c>
      <c r="J496" s="194">
        <f>J495*$B$483</f>
        <v>4.2299999999999995</v>
      </c>
      <c r="K496" s="194">
        <f t="shared" si="160"/>
        <v>4.4314285714285715</v>
      </c>
      <c r="L496" s="194">
        <f t="shared" si="160"/>
        <v>4.6328571428571435</v>
      </c>
      <c r="M496" s="194">
        <f t="shared" si="160"/>
        <v>4.8342857142857154</v>
      </c>
      <c r="N496" s="194">
        <f t="shared" si="160"/>
        <v>5.0357142857142874</v>
      </c>
      <c r="O496" s="194">
        <f t="shared" si="160"/>
        <v>5.2371428571428593</v>
      </c>
      <c r="P496" s="194">
        <f t="shared" si="160"/>
        <v>5.4385714285714313</v>
      </c>
      <c r="Q496" s="195">
        <f t="shared" si="160"/>
        <v>5.6400000000000032</v>
      </c>
      <c r="R496" s="196">
        <f t="shared" si="160"/>
        <v>2.82</v>
      </c>
      <c r="S496" s="194">
        <f t="shared" si="160"/>
        <v>3.0214285714285714</v>
      </c>
      <c r="T496" s="194">
        <f t="shared" si="160"/>
        <v>3.2228571428571429</v>
      </c>
      <c r="U496" s="194">
        <f t="shared" si="160"/>
        <v>3.4242857142857144</v>
      </c>
      <c r="V496" s="195">
        <f t="shared" si="160"/>
        <v>3.6257142857142854</v>
      </c>
      <c r="W496" s="194">
        <f t="shared" si="160"/>
        <v>3.827142857142857</v>
      </c>
      <c r="X496" s="194">
        <f t="shared" si="160"/>
        <v>4.0285714285714285</v>
      </c>
      <c r="Y496" s="194">
        <f t="shared" si="160"/>
        <v>4.2299999999999995</v>
      </c>
      <c r="Z496" s="194">
        <f t="shared" si="160"/>
        <v>4.4314285714285715</v>
      </c>
      <c r="AA496" s="195">
        <f t="shared" si="160"/>
        <v>4.6328571428571435</v>
      </c>
    </row>
    <row r="497" spans="1:27" s="24" customFormat="1" ht="16" thickBot="1">
      <c r="A497" s="184" t="s">
        <v>88</v>
      </c>
      <c r="B497" s="198">
        <f t="shared" ref="B497:K497" si="161">B496*$B$4</f>
        <v>0</v>
      </c>
      <c r="C497" s="272">
        <f t="shared" si="161"/>
        <v>2820</v>
      </c>
      <c r="D497" s="272">
        <f t="shared" si="161"/>
        <v>3021.4285714285716</v>
      </c>
      <c r="E497" s="272">
        <f t="shared" si="161"/>
        <v>3222.8571428571427</v>
      </c>
      <c r="F497" s="272">
        <f t="shared" si="161"/>
        <v>3424.2857142857142</v>
      </c>
      <c r="G497" s="272">
        <f t="shared" si="161"/>
        <v>3625.7142857142853</v>
      </c>
      <c r="H497" s="272">
        <f t="shared" si="161"/>
        <v>3827.1428571428569</v>
      </c>
      <c r="I497" s="272">
        <f t="shared" si="161"/>
        <v>4028.5714285714284</v>
      </c>
      <c r="J497" s="272">
        <f t="shared" si="161"/>
        <v>4229.9999999999991</v>
      </c>
      <c r="K497" s="272">
        <f t="shared" si="161"/>
        <v>4431.4285714285716</v>
      </c>
      <c r="L497" s="272">
        <f t="shared" ref="L497:V497" si="162">L496*$B$4</f>
        <v>4632.8571428571431</v>
      </c>
      <c r="M497" s="272">
        <f t="shared" si="162"/>
        <v>4834.2857142857156</v>
      </c>
      <c r="N497" s="272">
        <f t="shared" si="162"/>
        <v>5035.7142857142871</v>
      </c>
      <c r="O497" s="272">
        <f t="shared" si="162"/>
        <v>5237.1428571428596</v>
      </c>
      <c r="P497" s="272">
        <f t="shared" si="162"/>
        <v>5438.5714285714312</v>
      </c>
      <c r="Q497" s="273">
        <f t="shared" si="162"/>
        <v>5640.0000000000036</v>
      </c>
      <c r="R497" s="274">
        <f t="shared" si="162"/>
        <v>2820</v>
      </c>
      <c r="S497" s="272">
        <f t="shared" si="162"/>
        <v>3021.4285714285716</v>
      </c>
      <c r="T497" s="272">
        <f t="shared" si="162"/>
        <v>3222.8571428571427</v>
      </c>
      <c r="U497" s="272">
        <f t="shared" si="162"/>
        <v>3424.2857142857142</v>
      </c>
      <c r="V497" s="275">
        <f t="shared" si="162"/>
        <v>3625.7142857142853</v>
      </c>
      <c r="W497" s="272">
        <f>W496*$B$4</f>
        <v>3827.1428571428569</v>
      </c>
      <c r="X497" s="272">
        <f>X496*$B$4</f>
        <v>4028.5714285714284</v>
      </c>
      <c r="Y497" s="272">
        <f>Y496*$B$4</f>
        <v>4229.9999999999991</v>
      </c>
      <c r="Z497" s="272">
        <f>Z496*$B$4</f>
        <v>4431.4285714285716</v>
      </c>
      <c r="AA497" s="276">
        <f>AA496*$B$4</f>
        <v>4632.8571428571431</v>
      </c>
    </row>
    <row r="498" spans="1:27">
      <c r="A498" s="199"/>
      <c r="B498" s="174"/>
      <c r="C498" s="7"/>
      <c r="D498" s="7"/>
      <c r="E498" s="7"/>
      <c r="F498" s="7"/>
      <c r="G498" s="7"/>
      <c r="H498" s="7"/>
      <c r="I498" s="7"/>
      <c r="J498" s="7"/>
      <c r="K498" s="7"/>
      <c r="L498" s="7"/>
      <c r="M498" s="7"/>
      <c r="N498" s="7"/>
      <c r="O498" s="7"/>
      <c r="P498" s="7"/>
      <c r="Q498" s="104"/>
      <c r="R498" s="174"/>
      <c r="S498" s="7"/>
      <c r="T498" s="7"/>
      <c r="U498" s="7"/>
      <c r="V498" s="179"/>
      <c r="W498" s="7"/>
      <c r="X498" s="7"/>
      <c r="Y498" s="7"/>
      <c r="Z498" s="7"/>
      <c r="AA498" s="175"/>
    </row>
    <row r="499" spans="1:27">
      <c r="A499" s="6" t="s">
        <v>25</v>
      </c>
      <c r="B499" s="139">
        <v>0</v>
      </c>
      <c r="C499" s="259">
        <f>B473</f>
        <v>0.18239999999999998</v>
      </c>
      <c r="D499" s="259">
        <f t="shared" ref="D499:AA499" si="163">C499+C500</f>
        <v>0.18342143999999999</v>
      </c>
      <c r="E499" s="259">
        <f t="shared" si="163"/>
        <v>0.18444860006399999</v>
      </c>
      <c r="F499" s="259">
        <f t="shared" si="163"/>
        <v>0.18548151222435838</v>
      </c>
      <c r="G499" s="259">
        <f t="shared" si="163"/>
        <v>0.1865202086928148</v>
      </c>
      <c r="H499" s="259">
        <f t="shared" si="163"/>
        <v>0.18756472186149456</v>
      </c>
      <c r="I499" s="259">
        <f t="shared" si="163"/>
        <v>0.18861508430391893</v>
      </c>
      <c r="J499" s="259">
        <f t="shared" si="163"/>
        <v>0.18967132877602089</v>
      </c>
      <c r="K499" s="259">
        <f t="shared" si="163"/>
        <v>0.1907334882171666</v>
      </c>
      <c r="L499" s="259">
        <f t="shared" si="163"/>
        <v>0.19180159575118272</v>
      </c>
      <c r="M499" s="259">
        <f t="shared" si="163"/>
        <v>0.19287568468738933</v>
      </c>
      <c r="N499" s="259">
        <f>M499+M500</f>
        <v>0.19395578852163872</v>
      </c>
      <c r="O499" s="259">
        <f t="shared" si="163"/>
        <v>0.19504194093735991</v>
      </c>
      <c r="P499" s="259">
        <f t="shared" si="163"/>
        <v>0.19613417580660913</v>
      </c>
      <c r="Q499" s="105">
        <f t="shared" si="163"/>
        <v>0.19723252719112613</v>
      </c>
      <c r="R499" s="260">
        <f t="shared" si="163"/>
        <v>0.19833702934339645</v>
      </c>
      <c r="S499" s="259">
        <f t="shared" si="163"/>
        <v>0.19944771670771946</v>
      </c>
      <c r="T499" s="259">
        <f t="shared" si="163"/>
        <v>0.20056462392128269</v>
      </c>
      <c r="U499" s="259">
        <f t="shared" si="163"/>
        <v>0.20168778581524188</v>
      </c>
      <c r="V499" s="261">
        <f t="shared" si="163"/>
        <v>0.20281723741580723</v>
      </c>
      <c r="W499" s="259">
        <f t="shared" si="163"/>
        <v>0.20395301394533574</v>
      </c>
      <c r="X499" s="259">
        <f t="shared" si="163"/>
        <v>0.20509515082342963</v>
      </c>
      <c r="Y499" s="259">
        <f t="shared" si="163"/>
        <v>0.20624368366804083</v>
      </c>
      <c r="Z499" s="259">
        <f t="shared" si="163"/>
        <v>0.20739864829658186</v>
      </c>
      <c r="AA499" s="262">
        <f t="shared" si="163"/>
        <v>0.20856008072704271</v>
      </c>
    </row>
    <row r="500" spans="1:27">
      <c r="A500" s="209" t="s">
        <v>248</v>
      </c>
      <c r="B500" s="139"/>
      <c r="C500" s="259">
        <f>C499*$B$474</f>
        <v>1.02144E-3</v>
      </c>
      <c r="D500" s="259">
        <f>D499*$B$474</f>
        <v>1.027160064E-3</v>
      </c>
      <c r="E500" s="259">
        <f>E499*$B$474</f>
        <v>1.0329121603583999E-3</v>
      </c>
      <c r="F500" s="259">
        <f>F499*$B$474</f>
        <v>1.0386964684564069E-3</v>
      </c>
      <c r="G500" s="259">
        <f t="shared" ref="G500:AA500" si="164">G499*$B$474</f>
        <v>1.0445131686797628E-3</v>
      </c>
      <c r="H500" s="259">
        <f t="shared" si="164"/>
        <v>1.0503624424243695E-3</v>
      </c>
      <c r="I500" s="259">
        <f t="shared" si="164"/>
        <v>1.0562444721019461E-3</v>
      </c>
      <c r="J500" s="259">
        <f>J499*$B$474</f>
        <v>1.062159441145717E-3</v>
      </c>
      <c r="K500" s="259">
        <f t="shared" si="164"/>
        <v>1.068107534016133E-3</v>
      </c>
      <c r="L500" s="259">
        <f t="shared" si="164"/>
        <v>1.0740889362066232E-3</v>
      </c>
      <c r="M500" s="259">
        <f t="shared" si="164"/>
        <v>1.0801038342493803E-3</v>
      </c>
      <c r="N500" s="259">
        <f t="shared" si="164"/>
        <v>1.0861524157211768E-3</v>
      </c>
      <c r="O500" s="259">
        <f t="shared" si="164"/>
        <v>1.0922348692492154E-3</v>
      </c>
      <c r="P500" s="259">
        <f t="shared" si="164"/>
        <v>1.0983513845170111E-3</v>
      </c>
      <c r="Q500" s="105">
        <f t="shared" si="164"/>
        <v>1.1045021522703064E-3</v>
      </c>
      <c r="R500" s="260">
        <f t="shared" si="164"/>
        <v>1.1106873643230201E-3</v>
      </c>
      <c r="S500" s="259">
        <f t="shared" si="164"/>
        <v>1.116907213563229E-3</v>
      </c>
      <c r="T500" s="259">
        <f t="shared" si="164"/>
        <v>1.1231618939591831E-3</v>
      </c>
      <c r="U500" s="259">
        <f t="shared" si="164"/>
        <v>1.1294516005653545E-3</v>
      </c>
      <c r="V500" s="261">
        <f t="shared" si="164"/>
        <v>1.1357765295285204E-3</v>
      </c>
      <c r="W500" s="259">
        <f t="shared" si="164"/>
        <v>1.1421368780938801E-3</v>
      </c>
      <c r="X500" s="259">
        <f t="shared" si="164"/>
        <v>1.1485328446112059E-3</v>
      </c>
      <c r="Y500" s="259">
        <f t="shared" si="164"/>
        <v>1.1549646285410285E-3</v>
      </c>
      <c r="Z500" s="259">
        <f t="shared" si="164"/>
        <v>1.1614324304608584E-3</v>
      </c>
      <c r="AA500" s="262">
        <f t="shared" si="164"/>
        <v>1.1679364520714392E-3</v>
      </c>
    </row>
    <row r="501" spans="1:27" ht="16">
      <c r="A501" s="180" t="s">
        <v>24</v>
      </c>
      <c r="B501" s="194">
        <f>B499*(($B$475*(1/$B$478))+IF(ISERROR($B$482),0,($B$479*(1/$B$482))))</f>
        <v>0</v>
      </c>
      <c r="C501" s="194">
        <f>C499*(($B$475*(1/$B$478))+IF(ISERROR($B$482),0,($B$479*(1/$B$482))))</f>
        <v>0.65828571428571436</v>
      </c>
      <c r="D501" s="194">
        <f t="shared" ref="D501:AA501" si="165">D499*(($B$475*(1/$B$478))+IF(ISERROR($B$482),0,($B$479*(1/$B$482))))</f>
        <v>0.66197211428571434</v>
      </c>
      <c r="E501" s="194">
        <f t="shared" si="165"/>
        <v>0.66567915812571443</v>
      </c>
      <c r="F501" s="194">
        <f t="shared" si="165"/>
        <v>0.66940696141121836</v>
      </c>
      <c r="G501" s="194">
        <f t="shared" si="165"/>
        <v>0.67315564039512121</v>
      </c>
      <c r="H501" s="194">
        <f t="shared" si="165"/>
        <v>0.67692531198133388</v>
      </c>
      <c r="I501" s="194">
        <f t="shared" si="165"/>
        <v>0.68071609372842934</v>
      </c>
      <c r="J501" s="194">
        <f t="shared" si="165"/>
        <v>0.68452810385330864</v>
      </c>
      <c r="K501" s="194">
        <f t="shared" si="165"/>
        <v>0.68836146123488706</v>
      </c>
      <c r="L501" s="194">
        <f t="shared" si="165"/>
        <v>0.69221628541780245</v>
      </c>
      <c r="M501" s="194">
        <f t="shared" si="165"/>
        <v>0.69609269661614204</v>
      </c>
      <c r="N501" s="194">
        <f t="shared" si="165"/>
        <v>0.69999081571719246</v>
      </c>
      <c r="O501" s="194">
        <f t="shared" si="165"/>
        <v>0.70391076428520882</v>
      </c>
      <c r="P501" s="194">
        <f t="shared" si="165"/>
        <v>0.70785266456520601</v>
      </c>
      <c r="Q501" s="195">
        <f t="shared" si="165"/>
        <v>0.7118166394867711</v>
      </c>
      <c r="R501" s="196">
        <f t="shared" si="165"/>
        <v>0.71580281266789714</v>
      </c>
      <c r="S501" s="194">
        <f t="shared" si="165"/>
        <v>0.71981130841883734</v>
      </c>
      <c r="T501" s="194">
        <f t="shared" si="165"/>
        <v>0.72384225174598271</v>
      </c>
      <c r="U501" s="194">
        <f t="shared" si="165"/>
        <v>0.72789576835576031</v>
      </c>
      <c r="V501" s="195">
        <f t="shared" si="165"/>
        <v>0.73197198465855251</v>
      </c>
      <c r="W501" s="194">
        <f t="shared" si="165"/>
        <v>0.73607102777264044</v>
      </c>
      <c r="X501" s="194">
        <f t="shared" si="165"/>
        <v>0.74019302552816724</v>
      </c>
      <c r="Y501" s="194">
        <f t="shared" si="165"/>
        <v>0.74433810647112497</v>
      </c>
      <c r="Z501" s="194">
        <f t="shared" si="165"/>
        <v>0.74850639986736323</v>
      </c>
      <c r="AA501" s="195">
        <f t="shared" si="165"/>
        <v>0.75269803570662042</v>
      </c>
    </row>
    <row r="502" spans="1:27" s="24" customFormat="1" ht="16" thickBot="1">
      <c r="A502" s="197" t="s">
        <v>89</v>
      </c>
      <c r="B502" s="201">
        <f>B501*$B$4</f>
        <v>0</v>
      </c>
      <c r="C502" s="277">
        <f>C501*$B$4</f>
        <v>658.28571428571433</v>
      </c>
      <c r="D502" s="277">
        <f>D501*$B$4</f>
        <v>661.97211428571438</v>
      </c>
      <c r="E502" s="277">
        <f>E501*$B$4</f>
        <v>665.67915812571448</v>
      </c>
      <c r="F502" s="277">
        <f t="shared" ref="F502:V502" si="166">F501*$B$4</f>
        <v>669.40696141121839</v>
      </c>
      <c r="G502" s="277">
        <f t="shared" si="166"/>
        <v>673.15564039512117</v>
      </c>
      <c r="H502" s="277">
        <f t="shared" si="166"/>
        <v>676.92531198133383</v>
      </c>
      <c r="I502" s="277">
        <f t="shared" si="166"/>
        <v>680.71609372842931</v>
      </c>
      <c r="J502" s="277">
        <f t="shared" si="166"/>
        <v>684.52810385330861</v>
      </c>
      <c r="K502" s="277">
        <f t="shared" si="166"/>
        <v>688.36146123488709</v>
      </c>
      <c r="L502" s="277">
        <f t="shared" si="166"/>
        <v>692.2162854178024</v>
      </c>
      <c r="M502" s="277">
        <f t="shared" si="166"/>
        <v>696.09269661614201</v>
      </c>
      <c r="N502" s="277">
        <f t="shared" si="166"/>
        <v>699.9908157171925</v>
      </c>
      <c r="O502" s="277">
        <f t="shared" si="166"/>
        <v>703.91076428520887</v>
      </c>
      <c r="P502" s="277">
        <f t="shared" si="166"/>
        <v>707.85266456520606</v>
      </c>
      <c r="Q502" s="278">
        <f t="shared" si="166"/>
        <v>711.81663948677112</v>
      </c>
      <c r="R502" s="279">
        <f t="shared" si="166"/>
        <v>715.80281266789711</v>
      </c>
      <c r="S502" s="277">
        <f t="shared" si="166"/>
        <v>719.81130841883737</v>
      </c>
      <c r="T502" s="277">
        <f t="shared" si="166"/>
        <v>723.84225174598271</v>
      </c>
      <c r="U502" s="277">
        <f t="shared" si="166"/>
        <v>727.89576835576031</v>
      </c>
      <c r="V502" s="280">
        <f t="shared" si="166"/>
        <v>731.97198465855251</v>
      </c>
      <c r="W502" s="277">
        <f>W501*$B$4</f>
        <v>736.07102777264049</v>
      </c>
      <c r="X502" s="277">
        <f>X501*$B$4</f>
        <v>740.19302552816725</v>
      </c>
      <c r="Y502" s="277">
        <f>Y501*$B$4</f>
        <v>744.338106471125</v>
      </c>
      <c r="Z502" s="277">
        <f>Z501*$B$4</f>
        <v>748.50639986736326</v>
      </c>
      <c r="AA502" s="281">
        <f>AA501*$B$4</f>
        <v>752.69803570662043</v>
      </c>
    </row>
    <row r="503" spans="1:27" s="24" customFormat="1">
      <c r="A503" s="167"/>
      <c r="B503" s="168"/>
      <c r="C503" s="169"/>
      <c r="D503" s="169"/>
      <c r="E503" s="169"/>
      <c r="F503" s="169"/>
      <c r="G503" s="169"/>
      <c r="H503" s="169"/>
      <c r="I503" s="169"/>
      <c r="J503" s="169"/>
      <c r="K503" s="169"/>
      <c r="L503" s="169"/>
      <c r="M503" s="169"/>
      <c r="N503" s="169"/>
      <c r="O503" s="169"/>
      <c r="P503" s="169"/>
      <c r="Q503" s="170"/>
      <c r="R503" s="171"/>
      <c r="S503" s="169"/>
      <c r="T503" s="169"/>
      <c r="U503" s="169"/>
      <c r="V503" s="172"/>
      <c r="W503" s="169"/>
      <c r="X503" s="169"/>
      <c r="Y503" s="169"/>
      <c r="Z503" s="169"/>
      <c r="AA503" s="173"/>
    </row>
    <row r="504" spans="1:27" ht="16">
      <c r="A504" s="6" t="s">
        <v>34</v>
      </c>
      <c r="B504" s="291">
        <f t="shared" ref="B504:G504" si="167">B492+B496+B501</f>
        <v>282</v>
      </c>
      <c r="C504" s="118">
        <f t="shared" si="167"/>
        <v>3.4782857142857142</v>
      </c>
      <c r="D504" s="118">
        <f t="shared" si="167"/>
        <v>3.6834006857142856</v>
      </c>
      <c r="E504" s="118">
        <f t="shared" si="167"/>
        <v>3.8885363009828575</v>
      </c>
      <c r="F504" s="118">
        <f t="shared" si="167"/>
        <v>4.093692675696933</v>
      </c>
      <c r="G504" s="118">
        <f t="shared" si="167"/>
        <v>4.2988699261094068</v>
      </c>
      <c r="H504" s="118">
        <f t="shared" ref="H504:Q504" si="168">H492+H496+H501</f>
        <v>4.5040681691241904</v>
      </c>
      <c r="I504" s="118">
        <f t="shared" si="168"/>
        <v>4.7092875222998583</v>
      </c>
      <c r="J504" s="118">
        <f t="shared" si="168"/>
        <v>4.914528103853308</v>
      </c>
      <c r="K504" s="118">
        <f t="shared" si="168"/>
        <v>5.1197900326634587</v>
      </c>
      <c r="L504" s="118">
        <f t="shared" si="168"/>
        <v>5.3250734282749459</v>
      </c>
      <c r="M504" s="118">
        <f t="shared" si="168"/>
        <v>5.5303784109018572</v>
      </c>
      <c r="N504" s="118">
        <f t="shared" si="168"/>
        <v>5.7357051014314795</v>
      </c>
      <c r="O504" s="118">
        <f>O492+O496+O501</f>
        <v>5.9410536214280683</v>
      </c>
      <c r="P504" s="118">
        <f t="shared" si="168"/>
        <v>6.1464240931366376</v>
      </c>
      <c r="Q504" s="202">
        <f t="shared" si="168"/>
        <v>288.35181663948674</v>
      </c>
      <c r="R504" s="136">
        <f t="shared" ref="R504:AA504" si="169">R492+R496+R501</f>
        <v>3.5358028126678969</v>
      </c>
      <c r="S504" s="118">
        <f t="shared" si="169"/>
        <v>3.7412398798474085</v>
      </c>
      <c r="T504" s="118">
        <f t="shared" si="169"/>
        <v>3.9466993946031255</v>
      </c>
      <c r="U504" s="118">
        <f t="shared" si="169"/>
        <v>4.1521814826414749</v>
      </c>
      <c r="V504" s="203">
        <f t="shared" si="169"/>
        <v>4.3576862703728381</v>
      </c>
      <c r="W504" s="118">
        <f t="shared" si="169"/>
        <v>4.5632138849154975</v>
      </c>
      <c r="X504" s="118">
        <f t="shared" si="169"/>
        <v>4.7687644540995962</v>
      </c>
      <c r="Y504" s="118">
        <f t="shared" si="169"/>
        <v>4.9743381064711247</v>
      </c>
      <c r="Z504" s="118">
        <f t="shared" si="169"/>
        <v>5.1799349712959346</v>
      </c>
      <c r="AA504" s="204">
        <f t="shared" si="169"/>
        <v>5.3855551785637639</v>
      </c>
    </row>
    <row r="505" spans="1:27" ht="16" thickBot="1">
      <c r="A505" s="135" t="s">
        <v>35</v>
      </c>
      <c r="B505" s="243">
        <f>($B$4*B504)</f>
        <v>282000</v>
      </c>
      <c r="C505" s="243">
        <f>$B$4*C504</f>
        <v>3478.2857142857142</v>
      </c>
      <c r="D505" s="243">
        <f>$B$4*D504</f>
        <v>3683.4006857142854</v>
      </c>
      <c r="E505" s="243">
        <f>$B$4*E504</f>
        <v>3888.5363009828575</v>
      </c>
      <c r="F505" s="243">
        <f t="shared" ref="F505:V505" si="170">$B$4*F504</f>
        <v>4093.6926756969328</v>
      </c>
      <c r="G505" s="243">
        <f t="shared" si="170"/>
        <v>4298.8699261094071</v>
      </c>
      <c r="H505" s="243">
        <f t="shared" si="170"/>
        <v>4504.0681691241907</v>
      </c>
      <c r="I505" s="243">
        <f t="shared" si="170"/>
        <v>4709.2875222998582</v>
      </c>
      <c r="J505" s="243">
        <f t="shared" si="170"/>
        <v>4914.5281038533076</v>
      </c>
      <c r="K505" s="243">
        <f t="shared" si="170"/>
        <v>5119.790032663459</v>
      </c>
      <c r="L505" s="243">
        <f t="shared" si="170"/>
        <v>5325.0734282749463</v>
      </c>
      <c r="M505" s="243">
        <f t="shared" si="170"/>
        <v>5530.378410901857</v>
      </c>
      <c r="N505" s="243">
        <f t="shared" si="170"/>
        <v>5735.7051014314793</v>
      </c>
      <c r="O505" s="243">
        <f t="shared" si="170"/>
        <v>5941.0536214280683</v>
      </c>
      <c r="P505" s="243">
        <f t="shared" si="170"/>
        <v>6146.4240931366376</v>
      </c>
      <c r="Q505" s="250">
        <f t="shared" si="170"/>
        <v>288351.81663948676</v>
      </c>
      <c r="R505" s="251">
        <f t="shared" si="170"/>
        <v>3535.8028126678969</v>
      </c>
      <c r="S505" s="243">
        <f t="shared" si="170"/>
        <v>3741.2398798474082</v>
      </c>
      <c r="T505" s="243">
        <f t="shared" si="170"/>
        <v>3946.6993946031253</v>
      </c>
      <c r="U505" s="243">
        <f t="shared" si="170"/>
        <v>4152.1814826414748</v>
      </c>
      <c r="V505" s="265">
        <f t="shared" si="170"/>
        <v>4357.6862703728384</v>
      </c>
      <c r="W505" s="243">
        <f>$B$4*W504</f>
        <v>4563.2138849154971</v>
      </c>
      <c r="X505" s="243">
        <f>$B$4*X504</f>
        <v>4768.7644540995962</v>
      </c>
      <c r="Y505" s="243">
        <f>$B$4*Y504</f>
        <v>4974.3381064711248</v>
      </c>
      <c r="Z505" s="243">
        <f>$B$4*Z504</f>
        <v>5179.9349712959347</v>
      </c>
      <c r="AA505" s="32">
        <f>$B$4*AA504</f>
        <v>5385.5551785637635</v>
      </c>
    </row>
    <row r="506" spans="1:27" ht="17" thickTop="1" thickBot="1">
      <c r="A506" s="236"/>
      <c r="B506" s="28" t="s">
        <v>98</v>
      </c>
      <c r="C506" s="29" t="s">
        <v>91</v>
      </c>
      <c r="D506" s="30" t="s">
        <v>92</v>
      </c>
      <c r="E506" s="205"/>
      <c r="F506" s="205"/>
      <c r="G506" s="205"/>
      <c r="H506" s="205"/>
      <c r="I506" s="205"/>
      <c r="J506" s="205"/>
      <c r="K506" s="205"/>
      <c r="L506" s="205"/>
      <c r="M506" s="205"/>
      <c r="N506" s="263"/>
      <c r="O506" s="263"/>
      <c r="P506" s="263"/>
      <c r="Q506" s="263"/>
      <c r="R506" s="263"/>
      <c r="S506" s="263"/>
      <c r="T506" s="263"/>
      <c r="U506" s="263"/>
      <c r="V506" s="263"/>
      <c r="W506" s="263"/>
      <c r="X506" s="263"/>
      <c r="Y506" s="263"/>
      <c r="Z506" s="263"/>
      <c r="AA506" s="263"/>
    </row>
    <row r="507" spans="1:27" ht="16">
      <c r="A507" s="6" t="s">
        <v>36</v>
      </c>
      <c r="B507" s="206">
        <f>NPV($B$5,C504,D504:Q504)+B504-(Q491/((1+B485)^15))</f>
        <v>331.09010211392069</v>
      </c>
      <c r="C507" s="207">
        <f>NPV($B$5,C504,D504:V504)+B504-(V491/((1+B485)^20))</f>
        <v>404.0592440209092</v>
      </c>
      <c r="D507" s="31">
        <f>NPV($B$5,C504,D504:AA504)+B504-(AA491/((1+B485)^25))</f>
        <v>455.24014129364343</v>
      </c>
      <c r="E507" s="208"/>
      <c r="F507" s="5"/>
      <c r="G507" s="5"/>
      <c r="H507" s="5"/>
      <c r="I507" s="5"/>
      <c r="J507" s="5"/>
      <c r="K507" s="5"/>
      <c r="L507" s="5"/>
      <c r="M507" s="5"/>
      <c r="N507" s="5"/>
      <c r="O507" s="5"/>
      <c r="P507" s="5"/>
      <c r="Q507" s="5"/>
      <c r="R507" s="5"/>
      <c r="S507" s="5"/>
      <c r="T507" s="5"/>
      <c r="U507" s="5"/>
      <c r="V507" s="5"/>
      <c r="W507" s="5"/>
      <c r="X507" s="4"/>
      <c r="Y507" s="4"/>
      <c r="Z507" s="4"/>
      <c r="AA507" s="4"/>
    </row>
    <row r="508" spans="1:27">
      <c r="A508" s="264" t="s">
        <v>37</v>
      </c>
      <c r="B508" s="210">
        <f>(NPV(B485,C505,D505:Q505))+B505-(Q491*$B$4/(1+B485)^15)</f>
        <v>331090.10211392073</v>
      </c>
      <c r="C508" s="211">
        <f>(NPV(B485,C505,D505:V505))+B505-(V491*$B$4/(1+B485)^20)</f>
        <v>404059.24402090919</v>
      </c>
      <c r="D508" s="212">
        <f>(NPV(B485,C505,D505:AA505))+B505-(AA491*$B$4/(1+B485)^25)</f>
        <v>455240.14129364351</v>
      </c>
      <c r="E508" s="213"/>
      <c r="F508" s="213"/>
      <c r="G508" s="213"/>
      <c r="H508" s="214"/>
      <c r="I508" s="23"/>
      <c r="J508" s="23"/>
      <c r="K508" s="23"/>
      <c r="L508" s="23"/>
      <c r="M508" s="23"/>
      <c r="N508" s="23"/>
      <c r="O508" s="23"/>
      <c r="P508" s="23"/>
      <c r="Q508" s="23"/>
      <c r="R508" s="23"/>
      <c r="S508" s="23"/>
      <c r="T508" s="23"/>
      <c r="U508" s="23"/>
      <c r="V508" s="23"/>
      <c r="W508" s="23"/>
      <c r="X508" s="4"/>
      <c r="Y508" s="4"/>
      <c r="Z508" s="4"/>
      <c r="AA508" s="4"/>
    </row>
    <row r="509" spans="1:27">
      <c r="A509" s="209" t="s">
        <v>85</v>
      </c>
      <c r="B509" s="210">
        <f>NPV(B485,C493,D493:Q493)+B493-(Q491*$B$4/(1+B485)^15)</f>
        <v>282000</v>
      </c>
      <c r="C509" s="211">
        <f>NPV(B485,C493,D493:V493)+B493-(V491*$B$4/(1+B485)^20)</f>
        <v>346791.59888152947</v>
      </c>
      <c r="D509" s="212">
        <f>NPV(B485,C493,D493:AA493)+B493-(AA491*$B$4/(1+B485)^25)</f>
        <v>389888.36112206394</v>
      </c>
      <c r="E509" s="213"/>
      <c r="F509" s="213"/>
      <c r="G509" s="213"/>
      <c r="H509" s="214"/>
      <c r="I509" s="23"/>
      <c r="J509" s="23"/>
      <c r="K509" s="23"/>
      <c r="L509" s="23"/>
      <c r="M509" s="23"/>
      <c r="N509" s="23"/>
      <c r="O509" s="23"/>
      <c r="P509" s="23"/>
      <c r="Q509" s="23"/>
      <c r="R509" s="23"/>
      <c r="S509" s="23"/>
      <c r="T509" s="23"/>
      <c r="U509" s="23"/>
      <c r="V509" s="23"/>
      <c r="W509" s="23"/>
      <c r="X509" s="4"/>
      <c r="Y509" s="4"/>
      <c r="Z509" s="4"/>
      <c r="AA509" s="4"/>
    </row>
    <row r="510" spans="1:27">
      <c r="A510" s="209" t="s">
        <v>86</v>
      </c>
      <c r="B510" s="210">
        <f>NPV(B485,C497,D497:Q497)+B497</f>
        <v>42018.65340827102</v>
      </c>
      <c r="C510" s="211">
        <f>NPV(B485,C497,D497:V497)+B497</f>
        <v>48689.530606256187</v>
      </c>
      <c r="D510" s="212">
        <f>NPV(B485,C497,D497:AA497)+B497</f>
        <v>55559.726912133723</v>
      </c>
      <c r="E510" s="213"/>
      <c r="F510" s="213"/>
      <c r="G510" s="213"/>
      <c r="H510" s="214"/>
      <c r="I510" s="23"/>
      <c r="J510" s="23"/>
      <c r="K510" s="23"/>
      <c r="L510" s="23"/>
      <c r="M510" s="23"/>
      <c r="N510" s="23"/>
      <c r="O510" s="23"/>
      <c r="P510" s="23"/>
      <c r="Q510" s="23"/>
      <c r="R510" s="23"/>
      <c r="S510" s="23"/>
      <c r="T510" s="23"/>
      <c r="U510" s="23"/>
      <c r="V510" s="23"/>
      <c r="W510" s="23"/>
      <c r="X510" s="4"/>
      <c r="Y510" s="4"/>
      <c r="Z510" s="4"/>
      <c r="AA510" s="4"/>
    </row>
    <row r="511" spans="1:27">
      <c r="A511" s="209" t="s">
        <v>90</v>
      </c>
      <c r="B511" s="210">
        <f>NPV(B485,C502,D502:Q502)+B502</f>
        <v>7071.4487056497301</v>
      </c>
      <c r="C511" s="211">
        <f>NPV(B485,C502,D502:V502)+B502</f>
        <v>8578.1145331235512</v>
      </c>
      <c r="D511" s="212">
        <f>NPV(B485,C502,D502:AA502)+B502</f>
        <v>9792.0532594457763</v>
      </c>
      <c r="E511" s="213"/>
      <c r="F511" s="213"/>
      <c r="G511" s="213"/>
      <c r="H511" s="214"/>
      <c r="I511" s="23"/>
      <c r="J511" s="23"/>
      <c r="K511" s="23"/>
      <c r="L511" s="23"/>
      <c r="M511" s="23"/>
      <c r="N511" s="23"/>
      <c r="O511" s="23"/>
      <c r="P511" s="23"/>
      <c r="Q511" s="23"/>
      <c r="R511" s="23"/>
      <c r="S511" s="23"/>
      <c r="T511" s="23"/>
      <c r="U511" s="23"/>
      <c r="V511" s="23"/>
      <c r="W511" s="23"/>
      <c r="X511" s="4"/>
      <c r="Y511" s="4"/>
      <c r="Z511" s="4"/>
      <c r="AA511" s="4"/>
    </row>
    <row r="512" spans="1:27" s="1" customFormat="1" ht="16" thickBot="1">
      <c r="A512" s="215" t="s">
        <v>303</v>
      </c>
      <c r="B512" s="216">
        <f>((Q491-Q490)/(1+B485)^15)*$B$4</f>
        <v>-5.4685312771990788E-11</v>
      </c>
      <c r="C512" s="217">
        <f>((V491-V490)/(1+B485)^20)*$B$4</f>
        <v>70855.222780124051</v>
      </c>
      <c r="D512" s="218">
        <f>(AA491/(1+B485)^25)*$B$4</f>
        <v>27758.460539589578</v>
      </c>
      <c r="E512" s="219"/>
      <c r="F512" s="219"/>
      <c r="G512" s="219"/>
      <c r="H512" s="23"/>
      <c r="I512" s="23"/>
      <c r="J512" s="23"/>
      <c r="K512" s="23"/>
      <c r="L512" s="23"/>
      <c r="M512" s="23"/>
      <c r="N512" s="23"/>
      <c r="O512" s="23"/>
      <c r="P512" s="23"/>
      <c r="Q512" s="23"/>
      <c r="R512" s="23"/>
      <c r="S512" s="23"/>
      <c r="T512" s="23"/>
      <c r="U512" s="23"/>
      <c r="V512" s="23"/>
      <c r="W512" s="23"/>
      <c r="X512" s="3"/>
      <c r="Y512" s="3"/>
      <c r="Z512" s="3"/>
      <c r="AA512" s="3"/>
    </row>
    <row r="513" spans="1:27" ht="16" thickTop="1">
      <c r="A513" s="4"/>
      <c r="B513" s="480"/>
      <c r="C513" s="480"/>
      <c r="D513" s="480"/>
      <c r="E513" s="5"/>
      <c r="F513" s="5"/>
      <c r="G513" s="5"/>
      <c r="H513" s="5"/>
      <c r="I513" s="5"/>
      <c r="J513" s="5"/>
      <c r="K513" s="5"/>
      <c r="L513" s="5"/>
      <c r="M513" s="5"/>
      <c r="N513" s="5"/>
      <c r="O513" s="5"/>
      <c r="P513" s="5"/>
      <c r="Q513" s="5"/>
      <c r="R513" s="5"/>
      <c r="S513" s="5"/>
      <c r="T513" s="5"/>
      <c r="U513" s="5"/>
      <c r="V513" s="4"/>
      <c r="W513" s="4"/>
      <c r="X513" s="4"/>
      <c r="Y513" s="4"/>
      <c r="Z513" s="4"/>
      <c r="AA513" s="4"/>
    </row>
    <row r="514" spans="1:27" ht="16" thickBot="1">
      <c r="A514" s="4"/>
      <c r="B514" s="481"/>
      <c r="C514" s="13"/>
      <c r="D514" s="486"/>
      <c r="E514" s="5"/>
      <c r="F514" s="5"/>
      <c r="G514" s="5"/>
      <c r="H514" s="5"/>
      <c r="I514" s="5"/>
      <c r="J514" s="5"/>
      <c r="K514" s="5"/>
      <c r="L514" s="5"/>
      <c r="M514" s="5"/>
      <c r="N514" s="5"/>
      <c r="O514" s="5"/>
      <c r="P514" s="5"/>
      <c r="Q514" s="5"/>
      <c r="R514" s="5"/>
      <c r="S514" s="5"/>
      <c r="T514" s="5"/>
      <c r="U514" s="5"/>
      <c r="V514" s="5"/>
      <c r="W514" s="4"/>
      <c r="X514" s="4"/>
      <c r="Y514" s="4"/>
      <c r="Z514" s="4"/>
      <c r="AA514" s="4"/>
    </row>
    <row r="515" spans="1:27" ht="35" customHeight="1" thickTop="1" thickBot="1">
      <c r="A515" s="1014" t="s">
        <v>356</v>
      </c>
      <c r="B515" s="1015"/>
      <c r="C515" s="220"/>
      <c r="D515" s="149"/>
      <c r="E515" s="149"/>
      <c r="F515" s="149"/>
      <c r="G515" s="149"/>
      <c r="H515" s="149"/>
      <c r="I515" s="149"/>
      <c r="J515" s="149"/>
      <c r="K515" s="149"/>
      <c r="L515" s="149"/>
      <c r="M515" s="149"/>
      <c r="N515" s="149"/>
      <c r="O515" s="149"/>
      <c r="P515" s="149"/>
      <c r="Q515" s="149"/>
      <c r="R515" s="149"/>
      <c r="S515" s="149"/>
      <c r="T515" s="149"/>
      <c r="U515" s="149"/>
      <c r="V515" s="149"/>
      <c r="W515" s="4"/>
      <c r="X515" s="4"/>
      <c r="Y515" s="4"/>
      <c r="Z515" s="4"/>
      <c r="AA515" s="4"/>
    </row>
    <row r="516" spans="1:27">
      <c r="A516" s="150" t="s">
        <v>83</v>
      </c>
      <c r="B516" s="657">
        <f>IF(Inputs!E35="No","",Inputs!$D$16)</f>
        <v>0.18239999999999998</v>
      </c>
      <c r="C516" s="152" t="s">
        <v>193</v>
      </c>
      <c r="D516" s="255"/>
      <c r="E516" s="149"/>
      <c r="F516" s="149"/>
      <c r="G516" s="149"/>
      <c r="H516" s="149"/>
      <c r="I516" s="149"/>
      <c r="J516" s="149"/>
      <c r="K516" s="149"/>
      <c r="L516" s="149"/>
      <c r="M516" s="149"/>
      <c r="N516" s="149"/>
      <c r="O516" s="149"/>
      <c r="P516" s="149"/>
      <c r="Q516" s="149"/>
      <c r="R516" s="149"/>
      <c r="S516" s="149"/>
      <c r="T516" s="149"/>
      <c r="U516" s="149"/>
      <c r="V516" s="149"/>
      <c r="W516" s="4"/>
      <c r="X516" s="4"/>
      <c r="Y516" s="4"/>
      <c r="Z516" s="4"/>
      <c r="AA516" s="4"/>
    </row>
    <row r="517" spans="1:27">
      <c r="A517" s="150" t="s">
        <v>221</v>
      </c>
      <c r="B517" s="151">
        <f>'Regional Fuel Costs'!C49</f>
        <v>5.5999999999999999E-3</v>
      </c>
      <c r="C517" s="152" t="s">
        <v>193</v>
      </c>
      <c r="D517" s="255"/>
      <c r="E517" s="149"/>
      <c r="F517" s="149"/>
      <c r="G517" s="149"/>
      <c r="H517" s="149"/>
      <c r="I517" s="149"/>
      <c r="J517" s="149"/>
      <c r="K517" s="149"/>
      <c r="L517" s="149"/>
      <c r="M517" s="149"/>
      <c r="N517" s="149"/>
      <c r="O517" s="149"/>
      <c r="P517" s="149"/>
      <c r="Q517" s="149"/>
      <c r="R517" s="149"/>
      <c r="S517" s="149"/>
      <c r="T517" s="149"/>
      <c r="U517" s="149"/>
      <c r="V517" s="149"/>
      <c r="W517" s="4"/>
      <c r="X517" s="4"/>
      <c r="Y517" s="4"/>
      <c r="Z517" s="4"/>
      <c r="AA517" s="4"/>
    </row>
    <row r="518" spans="1:27" ht="16">
      <c r="A518" s="150" t="s">
        <v>412</v>
      </c>
      <c r="B518" s="658">
        <f>Inputs!$D$11</f>
        <v>12</v>
      </c>
      <c r="C518" s="154" t="s">
        <v>290</v>
      </c>
      <c r="D518" s="255"/>
      <c r="E518" s="149"/>
      <c r="F518" s="149"/>
      <c r="G518" s="149"/>
      <c r="H518" s="149"/>
      <c r="I518" s="149"/>
      <c r="J518" s="149"/>
      <c r="K518" s="149"/>
      <c r="L518" s="149"/>
      <c r="M518" s="149"/>
      <c r="N518" s="149"/>
      <c r="O518" s="149"/>
      <c r="P518" s="149"/>
      <c r="Q518" s="149"/>
      <c r="R518" s="149"/>
      <c r="S518" s="149"/>
      <c r="T518" s="149"/>
      <c r="U518" s="149"/>
      <c r="V518" s="149"/>
      <c r="W518" s="4"/>
      <c r="X518" s="4"/>
      <c r="Y518" s="4"/>
      <c r="Z518" s="4"/>
      <c r="AA518" s="4"/>
    </row>
    <row r="519" spans="1:27">
      <c r="A519" s="150" t="s">
        <v>188</v>
      </c>
      <c r="B519" s="659">
        <f>Inputs!K35</f>
        <v>3.5</v>
      </c>
      <c r="C519" s="155" t="s">
        <v>196</v>
      </c>
      <c r="D519" s="255"/>
      <c r="E519" s="149"/>
      <c r="F519" s="149"/>
      <c r="G519" s="149"/>
      <c r="H519" s="149"/>
      <c r="I519" s="149"/>
      <c r="J519" s="149"/>
      <c r="K519" s="149"/>
      <c r="L519" s="149"/>
      <c r="M519" s="149"/>
      <c r="N519" s="149"/>
      <c r="O519" s="149"/>
      <c r="P519" s="149"/>
      <c r="Q519" s="149"/>
      <c r="R519" s="149"/>
      <c r="S519" s="149"/>
      <c r="T519" s="149"/>
      <c r="U519" s="149"/>
      <c r="V519" s="149"/>
      <c r="W519" s="4"/>
      <c r="X519" s="4"/>
      <c r="Y519" s="4"/>
      <c r="Z519" s="4"/>
      <c r="AA519" s="4"/>
    </row>
    <row r="520" spans="1:27">
      <c r="A520" s="150" t="s">
        <v>187</v>
      </c>
      <c r="B520" s="156">
        <f>'System Efficiencies'!C12</f>
        <v>0.95</v>
      </c>
      <c r="C520" s="155" t="s">
        <v>196</v>
      </c>
      <c r="D520" s="255"/>
      <c r="E520" s="149"/>
      <c r="F520" s="149"/>
      <c r="G520" s="149"/>
      <c r="H520" s="149"/>
      <c r="I520" s="149"/>
      <c r="J520" s="149"/>
      <c r="K520" s="149"/>
      <c r="L520" s="149"/>
      <c r="M520" s="149"/>
      <c r="N520" s="149"/>
      <c r="O520" s="149"/>
      <c r="P520" s="149"/>
      <c r="Q520" s="149"/>
      <c r="R520" s="149"/>
      <c r="S520" s="149"/>
      <c r="T520" s="149"/>
      <c r="U520" s="149"/>
      <c r="V520" s="149"/>
      <c r="W520" s="4"/>
      <c r="X520" s="4"/>
      <c r="Y520" s="4"/>
      <c r="Z520" s="4"/>
      <c r="AA520" s="4"/>
    </row>
    <row r="521" spans="1:27">
      <c r="A521" s="150" t="s">
        <v>189</v>
      </c>
      <c r="B521" s="659">
        <f>B519*B520</f>
        <v>3.3249999999999997</v>
      </c>
      <c r="C521" s="155" t="s">
        <v>196</v>
      </c>
      <c r="D521" s="255"/>
      <c r="E521" s="149"/>
      <c r="F521" s="149"/>
      <c r="G521" s="149"/>
      <c r="H521" s="149"/>
      <c r="I521" s="149"/>
      <c r="J521" s="149"/>
      <c r="K521" s="149"/>
      <c r="L521" s="149"/>
      <c r="M521" s="149"/>
      <c r="N521" s="149"/>
      <c r="O521" s="149"/>
      <c r="P521" s="149"/>
      <c r="Q521" s="149"/>
      <c r="R521" s="149"/>
      <c r="S521" s="149"/>
      <c r="T521" s="149"/>
      <c r="U521" s="149"/>
      <c r="V521" s="149"/>
      <c r="W521" s="4"/>
      <c r="X521" s="4"/>
      <c r="Y521" s="4"/>
      <c r="Z521" s="4"/>
      <c r="AA521" s="4"/>
    </row>
    <row r="522" spans="1:27" ht="16">
      <c r="A522" s="256" t="s">
        <v>413</v>
      </c>
      <c r="B522" s="658">
        <f>IF(Inputs!C8="No",0,Inputs!$D$13)</f>
        <v>0</v>
      </c>
      <c r="C522" s="154" t="s">
        <v>290</v>
      </c>
      <c r="D522" s="255"/>
      <c r="E522" s="149"/>
      <c r="F522" s="149"/>
      <c r="G522" s="149"/>
      <c r="H522" s="149"/>
      <c r="I522" s="149"/>
      <c r="J522" s="149"/>
      <c r="K522" s="149"/>
      <c r="L522" s="149"/>
      <c r="M522" s="149"/>
      <c r="N522" s="149"/>
      <c r="O522" s="149"/>
      <c r="P522" s="149"/>
      <c r="Q522" s="149"/>
      <c r="R522" s="149"/>
      <c r="S522" s="149"/>
      <c r="T522" s="149"/>
      <c r="U522" s="149"/>
      <c r="V522" s="149"/>
      <c r="W522" s="4"/>
      <c r="X522" s="4"/>
      <c r="Y522" s="4"/>
      <c r="Z522" s="4"/>
      <c r="AA522" s="4"/>
    </row>
    <row r="523" spans="1:27">
      <c r="A523" s="256" t="s">
        <v>190</v>
      </c>
      <c r="B523" s="659" t="str">
        <f>Inputs!M35</f>
        <v>N/A</v>
      </c>
      <c r="C523" s="155" t="s">
        <v>196</v>
      </c>
      <c r="D523" s="255"/>
      <c r="E523" s="149"/>
      <c r="F523" s="149"/>
      <c r="G523" s="149"/>
      <c r="H523" s="149"/>
      <c r="I523" s="149"/>
      <c r="J523" s="149"/>
      <c r="K523" s="149"/>
      <c r="L523" s="149"/>
      <c r="M523" s="149"/>
      <c r="N523" s="149"/>
      <c r="O523" s="149"/>
      <c r="P523" s="149"/>
      <c r="Q523" s="149"/>
      <c r="R523" s="149"/>
      <c r="S523" s="149"/>
      <c r="T523" s="149"/>
      <c r="U523" s="149"/>
      <c r="V523" s="149"/>
      <c r="W523" s="4"/>
      <c r="X523" s="4"/>
      <c r="Y523" s="4"/>
      <c r="Z523" s="4"/>
      <c r="AA523" s="4"/>
    </row>
    <row r="524" spans="1:27">
      <c r="A524" s="256" t="s">
        <v>191</v>
      </c>
      <c r="B524" s="156">
        <f>'System Efficiencies'!C13</f>
        <v>0.95</v>
      </c>
      <c r="C524" s="155" t="s">
        <v>196</v>
      </c>
      <c r="D524" s="255"/>
      <c r="E524" s="149"/>
      <c r="F524" s="149"/>
      <c r="G524" s="149"/>
      <c r="H524" s="149"/>
      <c r="I524" s="149"/>
      <c r="J524" s="149"/>
      <c r="K524" s="149"/>
      <c r="L524" s="149"/>
      <c r="M524" s="149"/>
      <c r="N524" s="149"/>
      <c r="O524" s="149"/>
      <c r="P524" s="149"/>
      <c r="Q524" s="149"/>
      <c r="R524" s="149"/>
      <c r="S524" s="149"/>
      <c r="T524" s="149"/>
      <c r="U524" s="149"/>
      <c r="V524" s="149"/>
      <c r="W524" s="4"/>
      <c r="X524" s="4"/>
      <c r="Y524" s="4"/>
      <c r="Z524" s="4"/>
      <c r="AA524" s="4"/>
    </row>
    <row r="525" spans="1:27">
      <c r="A525" s="256" t="s">
        <v>192</v>
      </c>
      <c r="B525" s="659" t="e">
        <f>B523*B524</f>
        <v>#VALUE!</v>
      </c>
      <c r="C525" s="155" t="s">
        <v>196</v>
      </c>
      <c r="D525" s="255"/>
      <c r="E525" s="149"/>
      <c r="F525" s="149"/>
      <c r="G525" s="149"/>
      <c r="H525" s="149"/>
      <c r="I525" s="149"/>
      <c r="J525" s="149"/>
      <c r="K525" s="149"/>
      <c r="L525" s="149"/>
      <c r="M525" s="149"/>
      <c r="N525" s="149"/>
      <c r="O525" s="149"/>
      <c r="P525" s="149"/>
      <c r="Q525" s="149"/>
      <c r="R525" s="149"/>
      <c r="S525" s="149"/>
      <c r="T525" s="149"/>
      <c r="U525" s="149"/>
      <c r="V525" s="149"/>
      <c r="W525" s="4"/>
      <c r="X525" s="4"/>
      <c r="Y525" s="4"/>
      <c r="Z525" s="4"/>
      <c r="AA525" s="4"/>
    </row>
    <row r="526" spans="1:27" ht="16">
      <c r="A526" s="150" t="s">
        <v>82</v>
      </c>
      <c r="B526" s="658">
        <f>Inputs!I35</f>
        <v>366</v>
      </c>
      <c r="C526" s="157" t="s">
        <v>195</v>
      </c>
      <c r="D526" s="255"/>
      <c r="E526" s="149"/>
      <c r="F526" s="149"/>
      <c r="G526" s="149"/>
      <c r="H526" s="149"/>
      <c r="I526" s="149"/>
      <c r="J526" s="149"/>
      <c r="K526" s="149"/>
      <c r="L526" s="149"/>
      <c r="M526" s="149"/>
      <c r="N526" s="149"/>
      <c r="O526" s="149"/>
      <c r="P526" s="149"/>
      <c r="Q526" s="149"/>
      <c r="R526" s="257"/>
      <c r="S526" s="257"/>
      <c r="T526" s="257"/>
      <c r="U526" s="257"/>
      <c r="V526" s="258"/>
      <c r="W526" s="258"/>
      <c r="X526" s="258"/>
      <c r="Y526" s="258"/>
      <c r="Z526" s="258"/>
      <c r="AA526" s="258"/>
    </row>
    <row r="527" spans="1:27">
      <c r="A527" s="150" t="s">
        <v>81</v>
      </c>
      <c r="B527" s="153">
        <f>'Capital Cost Structure'!E85</f>
        <v>15</v>
      </c>
      <c r="C527" s="157" t="s">
        <v>195</v>
      </c>
      <c r="D527" s="255"/>
      <c r="E527" s="149"/>
      <c r="F527" s="149"/>
      <c r="G527" s="149"/>
      <c r="H527" s="149"/>
      <c r="I527" s="149"/>
      <c r="J527" s="149"/>
      <c r="K527" s="149"/>
      <c r="L527" s="149"/>
      <c r="M527" s="149"/>
      <c r="N527" s="149"/>
      <c r="O527" s="149"/>
      <c r="P527" s="149"/>
      <c r="Q527" s="149"/>
      <c r="R527" s="149"/>
      <c r="S527" s="149"/>
      <c r="T527" s="149"/>
      <c r="U527" s="149"/>
      <c r="V527" s="149"/>
      <c r="W527" s="4"/>
      <c r="X527" s="4"/>
      <c r="Y527" s="4"/>
      <c r="Z527" s="4"/>
      <c r="AA527" s="4"/>
    </row>
    <row r="528" spans="1:27">
      <c r="A528" s="150" t="s">
        <v>32</v>
      </c>
      <c r="B528" s="156">
        <f>$B$5</f>
        <v>0.05</v>
      </c>
      <c r="C528" s="248" t="s">
        <v>194</v>
      </c>
      <c r="D528" s="255"/>
      <c r="E528" s="149"/>
      <c r="F528" s="149"/>
      <c r="G528" s="149"/>
      <c r="H528" s="149"/>
      <c r="I528" s="149"/>
      <c r="J528" s="149"/>
      <c r="K528" s="149"/>
      <c r="L528" s="149"/>
      <c r="M528" s="149"/>
      <c r="N528" s="149"/>
      <c r="O528" s="149"/>
      <c r="P528" s="149"/>
      <c r="Q528" s="149"/>
      <c r="R528" s="149"/>
      <c r="S528" s="149"/>
      <c r="T528" s="149"/>
      <c r="U528" s="149"/>
      <c r="V528" s="149"/>
      <c r="W528" s="4"/>
      <c r="X528" s="4"/>
      <c r="Y528" s="4"/>
      <c r="Z528" s="4"/>
      <c r="AA528" s="4"/>
    </row>
    <row r="529" spans="1:27" ht="16" thickBot="1">
      <c r="A529" s="159" t="s">
        <v>405</v>
      </c>
      <c r="B529" s="547">
        <f>Inputs!F35</f>
        <v>0</v>
      </c>
      <c r="C529" s="249" t="s">
        <v>194</v>
      </c>
      <c r="D529" s="160"/>
      <c r="E529" s="161"/>
      <c r="F529" s="161"/>
      <c r="G529" s="161"/>
      <c r="H529" s="161"/>
      <c r="I529" s="161"/>
      <c r="J529" s="161"/>
      <c r="K529" s="161"/>
      <c r="L529" s="161"/>
      <c r="M529" s="161"/>
      <c r="N529" s="161"/>
      <c r="O529" s="161"/>
      <c r="P529" s="161"/>
      <c r="Q529" s="161"/>
      <c r="R529" s="161"/>
      <c r="S529" s="161"/>
      <c r="T529" s="161"/>
      <c r="U529" s="161"/>
      <c r="V529" s="161"/>
      <c r="W529" s="4"/>
      <c r="X529" s="4"/>
      <c r="Y529" s="4"/>
      <c r="Z529" s="4"/>
      <c r="AA529" s="4"/>
    </row>
    <row r="530" spans="1:27" ht="17" thickTop="1" thickBot="1">
      <c r="A530" s="6" t="s">
        <v>0</v>
      </c>
      <c r="B530" s="139" t="s">
        <v>51</v>
      </c>
      <c r="C530" s="551" t="s">
        <v>1</v>
      </c>
      <c r="D530" s="551" t="s">
        <v>2</v>
      </c>
      <c r="E530" s="551" t="s">
        <v>3</v>
      </c>
      <c r="F530" s="551" t="s">
        <v>4</v>
      </c>
      <c r="G530" s="551" t="s">
        <v>5</v>
      </c>
      <c r="H530" s="551" t="s">
        <v>6</v>
      </c>
      <c r="I530" s="551" t="s">
        <v>7</v>
      </c>
      <c r="J530" s="551" t="s">
        <v>8</v>
      </c>
      <c r="K530" s="551" t="s">
        <v>9</v>
      </c>
      <c r="L530" s="551" t="s">
        <v>10</v>
      </c>
      <c r="M530" s="551" t="s">
        <v>11</v>
      </c>
      <c r="N530" s="551" t="s">
        <v>12</v>
      </c>
      <c r="O530" s="551" t="s">
        <v>13</v>
      </c>
      <c r="P530" s="551" t="s">
        <v>14</v>
      </c>
      <c r="Q530" s="162" t="s">
        <v>15</v>
      </c>
      <c r="R530" s="139" t="s">
        <v>16</v>
      </c>
      <c r="S530" s="551" t="s">
        <v>17</v>
      </c>
      <c r="T530" s="551" t="s">
        <v>18</v>
      </c>
      <c r="U530" s="551" t="s">
        <v>19</v>
      </c>
      <c r="V530" s="163" t="s">
        <v>20</v>
      </c>
      <c r="W530" s="164" t="s">
        <v>93</v>
      </c>
      <c r="X530" s="165" t="s">
        <v>94</v>
      </c>
      <c r="Y530" s="165" t="s">
        <v>95</v>
      </c>
      <c r="Z530" s="165" t="s">
        <v>96</v>
      </c>
      <c r="AA530" s="166" t="s">
        <v>97</v>
      </c>
    </row>
    <row r="531" spans="1:27" ht="16">
      <c r="A531" s="167" t="s">
        <v>314</v>
      </c>
      <c r="B531" s="168">
        <f>B526*(1-Inputs!G35)</f>
        <v>366</v>
      </c>
      <c r="C531" s="169"/>
      <c r="D531" s="169"/>
      <c r="E531" s="169"/>
      <c r="F531" s="169"/>
      <c r="G531" s="169"/>
      <c r="H531" s="169"/>
      <c r="I531" s="169"/>
      <c r="J531" s="169"/>
      <c r="K531" s="169"/>
      <c r="L531" s="169"/>
      <c r="M531" s="169"/>
      <c r="N531" s="169"/>
      <c r="O531" s="169"/>
      <c r="P531" s="169"/>
      <c r="Q531" s="170"/>
      <c r="R531" s="171"/>
      <c r="S531" s="169"/>
      <c r="T531" s="169"/>
      <c r="U531" s="169"/>
      <c r="V531" s="172"/>
      <c r="W531" s="169"/>
      <c r="X531" s="169"/>
      <c r="Y531" s="169"/>
      <c r="Z531" s="169"/>
      <c r="AA531" s="173"/>
    </row>
    <row r="532" spans="1:27">
      <c r="A532" s="209" t="s">
        <v>270</v>
      </c>
      <c r="B532" s="139"/>
      <c r="C532" s="7"/>
      <c r="D532" s="7"/>
      <c r="E532" s="7"/>
      <c r="F532" s="7"/>
      <c r="G532" s="269"/>
      <c r="H532" s="127"/>
      <c r="I532" s="127"/>
      <c r="J532" s="127"/>
      <c r="K532" s="127"/>
      <c r="L532" s="269"/>
      <c r="M532" s="127"/>
      <c r="N532" s="127"/>
      <c r="O532" s="127"/>
      <c r="P532" s="127"/>
      <c r="Q532" s="270" t="s">
        <v>359</v>
      </c>
      <c r="R532" s="271"/>
      <c r="S532" s="127"/>
      <c r="T532" s="127"/>
      <c r="U532" s="127"/>
      <c r="V532" s="179"/>
      <c r="W532" s="7"/>
      <c r="X532" s="7"/>
      <c r="Y532" s="7"/>
      <c r="Z532" s="7"/>
      <c r="AA532" s="175"/>
    </row>
    <row r="533" spans="1:27" ht="16">
      <c r="A533" s="266" t="s">
        <v>269</v>
      </c>
      <c r="B533" s="139">
        <v>0</v>
      </c>
      <c r="C533" s="7"/>
      <c r="D533" s="7"/>
      <c r="E533" s="7"/>
      <c r="F533" s="7"/>
      <c r="G533" s="7"/>
      <c r="H533" s="7"/>
      <c r="I533" s="7"/>
      <c r="J533" s="7"/>
      <c r="K533" s="7"/>
      <c r="L533" s="7"/>
      <c r="M533" s="7"/>
      <c r="N533" s="7"/>
      <c r="O533" s="7"/>
      <c r="P533" s="7"/>
      <c r="Q533" s="653">
        <f>('Capital Cost Structure'!F85*B526)</f>
        <v>366</v>
      </c>
      <c r="R533" s="174"/>
      <c r="S533" s="7"/>
      <c r="T533" s="7"/>
      <c r="U533" s="7"/>
      <c r="V533" s="179"/>
      <c r="W533" s="7"/>
      <c r="X533" s="7"/>
      <c r="Y533" s="7"/>
      <c r="Z533" s="7"/>
      <c r="AA533" s="175"/>
    </row>
    <row r="534" spans="1:27">
      <c r="A534" s="209" t="s">
        <v>50</v>
      </c>
      <c r="B534" s="139">
        <f>B531</f>
        <v>366</v>
      </c>
      <c r="C534" s="177">
        <f>B534+C533-($B$531/$B$527)</f>
        <v>341.6</v>
      </c>
      <c r="D534" s="177">
        <f t="shared" ref="D534:AA534" si="171">C534+D533-($B$531/$B$527)</f>
        <v>317.20000000000005</v>
      </c>
      <c r="E534" s="177">
        <f t="shared" si="171"/>
        <v>292.80000000000007</v>
      </c>
      <c r="F534" s="177">
        <f t="shared" si="171"/>
        <v>268.40000000000009</v>
      </c>
      <c r="G534" s="177">
        <f t="shared" si="171"/>
        <v>244.00000000000009</v>
      </c>
      <c r="H534" s="177">
        <f t="shared" si="171"/>
        <v>219.60000000000008</v>
      </c>
      <c r="I534" s="177">
        <f>H534+I533-($B$531/$B$527)</f>
        <v>195.20000000000007</v>
      </c>
      <c r="J534" s="177">
        <f t="shared" si="171"/>
        <v>170.80000000000007</v>
      </c>
      <c r="K534" s="177">
        <f t="shared" si="171"/>
        <v>146.40000000000006</v>
      </c>
      <c r="L534" s="177">
        <f t="shared" si="171"/>
        <v>122.00000000000006</v>
      </c>
      <c r="M534" s="177">
        <f t="shared" si="171"/>
        <v>97.600000000000051</v>
      </c>
      <c r="N534" s="177">
        <f t="shared" si="171"/>
        <v>73.200000000000045</v>
      </c>
      <c r="O534" s="177">
        <f t="shared" si="171"/>
        <v>48.800000000000047</v>
      </c>
      <c r="P534" s="177">
        <f t="shared" si="171"/>
        <v>24.400000000000048</v>
      </c>
      <c r="Q534" s="244">
        <f t="shared" si="171"/>
        <v>366.00000000000006</v>
      </c>
      <c r="R534" s="245">
        <f t="shared" si="171"/>
        <v>341.60000000000008</v>
      </c>
      <c r="S534" s="177">
        <f t="shared" si="171"/>
        <v>317.2000000000001</v>
      </c>
      <c r="T534" s="177">
        <f t="shared" si="171"/>
        <v>292.80000000000013</v>
      </c>
      <c r="U534" s="177">
        <f t="shared" si="171"/>
        <v>268.40000000000015</v>
      </c>
      <c r="V534" s="293">
        <f t="shared" si="171"/>
        <v>244.00000000000014</v>
      </c>
      <c r="W534" s="177">
        <f t="shared" si="171"/>
        <v>219.60000000000014</v>
      </c>
      <c r="X534" s="177">
        <f t="shared" si="171"/>
        <v>195.20000000000013</v>
      </c>
      <c r="Y534" s="177">
        <f t="shared" si="171"/>
        <v>170.80000000000013</v>
      </c>
      <c r="Z534" s="177">
        <f t="shared" si="171"/>
        <v>146.40000000000012</v>
      </c>
      <c r="AA534" s="178">
        <f t="shared" si="171"/>
        <v>122.00000000000011</v>
      </c>
    </row>
    <row r="535" spans="1:27" ht="16">
      <c r="A535" s="180" t="s">
        <v>22</v>
      </c>
      <c r="B535" s="183">
        <f>B531+B533+(B529/$B$4)</f>
        <v>366</v>
      </c>
      <c r="C535" s="181">
        <f>C531+C533</f>
        <v>0</v>
      </c>
      <c r="D535" s="181">
        <f>D531+D533</f>
        <v>0</v>
      </c>
      <c r="E535" s="181">
        <f>E531+E533</f>
        <v>0</v>
      </c>
      <c r="F535" s="181">
        <f>F531+F533</f>
        <v>0</v>
      </c>
      <c r="G535" s="181">
        <f>G531+G533</f>
        <v>0</v>
      </c>
      <c r="H535" s="181">
        <f t="shared" ref="H535:AA535" si="172">H531+H533</f>
        <v>0</v>
      </c>
      <c r="I535" s="181">
        <f t="shared" si="172"/>
        <v>0</v>
      </c>
      <c r="J535" s="181">
        <f t="shared" si="172"/>
        <v>0</v>
      </c>
      <c r="K535" s="181">
        <f t="shared" si="172"/>
        <v>0</v>
      </c>
      <c r="L535" s="181">
        <f t="shared" si="172"/>
        <v>0</v>
      </c>
      <c r="M535" s="181">
        <f t="shared" si="172"/>
        <v>0</v>
      </c>
      <c r="N535" s="181">
        <f t="shared" si="172"/>
        <v>0</v>
      </c>
      <c r="O535" s="181">
        <f t="shared" si="172"/>
        <v>0</v>
      </c>
      <c r="P535" s="181">
        <f t="shared" si="172"/>
        <v>0</v>
      </c>
      <c r="Q535" s="182">
        <f t="shared" si="172"/>
        <v>366</v>
      </c>
      <c r="R535" s="183">
        <f t="shared" si="172"/>
        <v>0</v>
      </c>
      <c r="S535" s="181">
        <f t="shared" si="172"/>
        <v>0</v>
      </c>
      <c r="T535" s="181">
        <f t="shared" si="172"/>
        <v>0</v>
      </c>
      <c r="U535" s="181">
        <f t="shared" si="172"/>
        <v>0</v>
      </c>
      <c r="V535" s="182">
        <f t="shared" si="172"/>
        <v>0</v>
      </c>
      <c r="W535" s="181">
        <f t="shared" si="172"/>
        <v>0</v>
      </c>
      <c r="X535" s="181">
        <f t="shared" si="172"/>
        <v>0</v>
      </c>
      <c r="Y535" s="181">
        <f t="shared" si="172"/>
        <v>0</v>
      </c>
      <c r="Z535" s="181">
        <f t="shared" si="172"/>
        <v>0</v>
      </c>
      <c r="AA535" s="182">
        <f t="shared" si="172"/>
        <v>0</v>
      </c>
    </row>
    <row r="536" spans="1:27" s="18" customFormat="1" ht="16" thickBot="1">
      <c r="A536" s="184" t="s">
        <v>87</v>
      </c>
      <c r="B536" s="185">
        <f>(B535*$B$4)</f>
        <v>366000</v>
      </c>
      <c r="C536" s="186">
        <f t="shared" ref="C536:P536" si="173">C535*$B$4</f>
        <v>0</v>
      </c>
      <c r="D536" s="186">
        <f t="shared" si="173"/>
        <v>0</v>
      </c>
      <c r="E536" s="186">
        <f t="shared" si="173"/>
        <v>0</v>
      </c>
      <c r="F536" s="186">
        <f t="shared" si="173"/>
        <v>0</v>
      </c>
      <c r="G536" s="186">
        <f t="shared" si="173"/>
        <v>0</v>
      </c>
      <c r="H536" s="186">
        <f t="shared" si="173"/>
        <v>0</v>
      </c>
      <c r="I536" s="186">
        <f t="shared" si="173"/>
        <v>0</v>
      </c>
      <c r="J536" s="186">
        <f t="shared" si="173"/>
        <v>0</v>
      </c>
      <c r="K536" s="186">
        <f t="shared" si="173"/>
        <v>0</v>
      </c>
      <c r="L536" s="186">
        <f t="shared" si="173"/>
        <v>0</v>
      </c>
      <c r="M536" s="186">
        <f t="shared" si="173"/>
        <v>0</v>
      </c>
      <c r="N536" s="186">
        <f t="shared" si="173"/>
        <v>0</v>
      </c>
      <c r="O536" s="186">
        <f t="shared" si="173"/>
        <v>0</v>
      </c>
      <c r="P536" s="186">
        <f t="shared" si="173"/>
        <v>0</v>
      </c>
      <c r="Q536" s="187">
        <f t="shared" ref="Q536:AA536" si="174">Q535*$B$4</f>
        <v>366000</v>
      </c>
      <c r="R536" s="185">
        <f t="shared" si="174"/>
        <v>0</v>
      </c>
      <c r="S536" s="186">
        <f t="shared" si="174"/>
        <v>0</v>
      </c>
      <c r="T536" s="186">
        <f t="shared" si="174"/>
        <v>0</v>
      </c>
      <c r="U536" s="186">
        <f t="shared" si="174"/>
        <v>0</v>
      </c>
      <c r="V536" s="188">
        <f t="shared" si="174"/>
        <v>0</v>
      </c>
      <c r="W536" s="186">
        <f t="shared" si="174"/>
        <v>0</v>
      </c>
      <c r="X536" s="186">
        <f t="shared" si="174"/>
        <v>0</v>
      </c>
      <c r="Y536" s="186">
        <f t="shared" si="174"/>
        <v>0</v>
      </c>
      <c r="Z536" s="186">
        <f t="shared" si="174"/>
        <v>0</v>
      </c>
      <c r="AA536" s="189">
        <f t="shared" si="174"/>
        <v>0</v>
      </c>
    </row>
    <row r="537" spans="1:27">
      <c r="A537" s="6"/>
      <c r="B537" s="139"/>
      <c r="C537" s="7"/>
      <c r="D537" s="7"/>
      <c r="E537" s="7"/>
      <c r="F537" s="7"/>
      <c r="G537" s="7"/>
      <c r="H537" s="7"/>
      <c r="I537" s="7"/>
      <c r="J537" s="7"/>
      <c r="K537" s="7"/>
      <c r="L537" s="7"/>
      <c r="M537" s="7"/>
      <c r="N537" s="7"/>
      <c r="O537" s="7"/>
      <c r="P537" s="7"/>
      <c r="Q537" s="104"/>
      <c r="R537" s="174"/>
      <c r="S537" s="7"/>
      <c r="T537" s="7"/>
      <c r="U537" s="7"/>
      <c r="V537" s="179"/>
      <c r="W537" s="7"/>
      <c r="X537" s="7"/>
      <c r="Y537" s="7"/>
      <c r="Z537" s="7"/>
      <c r="AA537" s="175"/>
    </row>
    <row r="538" spans="1:27">
      <c r="A538" s="209" t="s">
        <v>21</v>
      </c>
      <c r="B538" s="139">
        <v>0</v>
      </c>
      <c r="C538" s="17">
        <v>0.01</v>
      </c>
      <c r="D538" s="17">
        <f>C538+(0.01/($B$527-1))</f>
        <v>1.0714285714285714E-2</v>
      </c>
      <c r="E538" s="17">
        <f t="shared" ref="E538:AA538" si="175">D538+(0.01/($B$527-1))</f>
        <v>1.1428571428571429E-2</v>
      </c>
      <c r="F538" s="17">
        <f t="shared" si="175"/>
        <v>1.2142857142857143E-2</v>
      </c>
      <c r="G538" s="17">
        <f t="shared" si="175"/>
        <v>1.2857142857142857E-2</v>
      </c>
      <c r="H538" s="17">
        <f t="shared" si="175"/>
        <v>1.3571428571428571E-2</v>
      </c>
      <c r="I538" s="17">
        <f t="shared" si="175"/>
        <v>1.4285714285714285E-2</v>
      </c>
      <c r="J538" s="17">
        <f t="shared" si="175"/>
        <v>1.4999999999999999E-2</v>
      </c>
      <c r="K538" s="17">
        <f t="shared" si="175"/>
        <v>1.5714285714285715E-2</v>
      </c>
      <c r="L538" s="17">
        <f t="shared" si="175"/>
        <v>1.6428571428571431E-2</v>
      </c>
      <c r="M538" s="17">
        <f t="shared" si="175"/>
        <v>1.7142857142857147E-2</v>
      </c>
      <c r="N538" s="17">
        <f t="shared" si="175"/>
        <v>1.7857142857142863E-2</v>
      </c>
      <c r="O538" s="17">
        <f t="shared" si="175"/>
        <v>1.8571428571428579E-2</v>
      </c>
      <c r="P538" s="17">
        <f t="shared" si="175"/>
        <v>1.9285714285714295E-2</v>
      </c>
      <c r="Q538" s="190">
        <f t="shared" si="175"/>
        <v>2.0000000000000011E-2</v>
      </c>
      <c r="R538" s="17">
        <f t="shared" si="175"/>
        <v>2.0714285714285727E-2</v>
      </c>
      <c r="S538" s="17">
        <f t="shared" si="175"/>
        <v>2.1428571428571443E-2</v>
      </c>
      <c r="T538" s="17">
        <f t="shared" si="175"/>
        <v>2.2142857142857159E-2</v>
      </c>
      <c r="U538" s="17">
        <f t="shared" si="175"/>
        <v>2.2857142857142874E-2</v>
      </c>
      <c r="V538" s="192">
        <f t="shared" si="175"/>
        <v>2.357142857142859E-2</v>
      </c>
      <c r="W538" s="17">
        <f t="shared" si="175"/>
        <v>2.4285714285714306E-2</v>
      </c>
      <c r="X538" s="17">
        <f t="shared" si="175"/>
        <v>2.5000000000000022E-2</v>
      </c>
      <c r="Y538" s="17">
        <f t="shared" si="175"/>
        <v>2.5714285714285738E-2</v>
      </c>
      <c r="Z538" s="17">
        <f t="shared" si="175"/>
        <v>2.6428571428571454E-2</v>
      </c>
      <c r="AA538" s="193">
        <f t="shared" si="175"/>
        <v>2.714285714285717E-2</v>
      </c>
    </row>
    <row r="539" spans="1:27" ht="16">
      <c r="A539" s="180" t="s">
        <v>23</v>
      </c>
      <c r="B539" s="194">
        <f>B538*$B$526</f>
        <v>0</v>
      </c>
      <c r="C539" s="194">
        <f>C538*$B$526</f>
        <v>3.66</v>
      </c>
      <c r="D539" s="194">
        <f>D538*$B$526</f>
        <v>3.9214285714285713</v>
      </c>
      <c r="E539" s="194">
        <f>E538*$B$526</f>
        <v>4.1828571428571433</v>
      </c>
      <c r="F539" s="194">
        <f>F538*$B$526</f>
        <v>4.444285714285714</v>
      </c>
      <c r="G539" s="194">
        <f t="shared" ref="G539:AA539" si="176">G538*$B$526</f>
        <v>4.7057142857142855</v>
      </c>
      <c r="H539" s="194">
        <f t="shared" si="176"/>
        <v>4.9671428571428571</v>
      </c>
      <c r="I539" s="194">
        <f>I538*$B$526</f>
        <v>5.2285714285714286</v>
      </c>
      <c r="J539" s="194">
        <f t="shared" si="176"/>
        <v>5.49</v>
      </c>
      <c r="K539" s="194">
        <f>K538*$B$526</f>
        <v>5.7514285714285718</v>
      </c>
      <c r="L539" s="194">
        <f>L538*$B$526</f>
        <v>6.0128571428571442</v>
      </c>
      <c r="M539" s="194">
        <f t="shared" si="176"/>
        <v>6.2742857142857158</v>
      </c>
      <c r="N539" s="194">
        <f t="shared" si="176"/>
        <v>6.5357142857142883</v>
      </c>
      <c r="O539" s="194">
        <f t="shared" si="176"/>
        <v>6.7971428571428598</v>
      </c>
      <c r="P539" s="194">
        <f t="shared" si="176"/>
        <v>7.0585714285714323</v>
      </c>
      <c r="Q539" s="195">
        <f t="shared" si="176"/>
        <v>7.3200000000000038</v>
      </c>
      <c r="R539" s="196">
        <f t="shared" si="176"/>
        <v>7.5814285714285763</v>
      </c>
      <c r="S539" s="194">
        <f t="shared" si="176"/>
        <v>7.8428571428571479</v>
      </c>
      <c r="T539" s="194">
        <f t="shared" si="176"/>
        <v>8.1042857142857194</v>
      </c>
      <c r="U539" s="194">
        <f t="shared" si="176"/>
        <v>8.3657142857142919</v>
      </c>
      <c r="V539" s="195">
        <f t="shared" si="176"/>
        <v>8.6271428571428643</v>
      </c>
      <c r="W539" s="194">
        <f>W538*$B$526</f>
        <v>8.8885714285714368</v>
      </c>
      <c r="X539" s="194">
        <f t="shared" si="176"/>
        <v>9.1500000000000075</v>
      </c>
      <c r="Y539" s="194">
        <f t="shared" si="176"/>
        <v>9.4114285714285799</v>
      </c>
      <c r="Z539" s="194">
        <f t="shared" si="176"/>
        <v>9.6728571428571524</v>
      </c>
      <c r="AA539" s="195">
        <f t="shared" si="176"/>
        <v>9.9342857142857248</v>
      </c>
    </row>
    <row r="540" spans="1:27" s="24" customFormat="1" ht="16" thickBot="1">
      <c r="A540" s="184" t="s">
        <v>88</v>
      </c>
      <c r="B540" s="198">
        <f t="shared" ref="B540:V540" si="177">B539*$B$4</f>
        <v>0</v>
      </c>
      <c r="C540" s="272">
        <f t="shared" si="177"/>
        <v>3660</v>
      </c>
      <c r="D540" s="272">
        <f t="shared" si="177"/>
        <v>3921.4285714285711</v>
      </c>
      <c r="E540" s="272">
        <f t="shared" si="177"/>
        <v>4182.8571428571431</v>
      </c>
      <c r="F540" s="272">
        <f t="shared" si="177"/>
        <v>4444.2857142857138</v>
      </c>
      <c r="G540" s="272">
        <f t="shared" si="177"/>
        <v>4705.7142857142853</v>
      </c>
      <c r="H540" s="272">
        <f t="shared" si="177"/>
        <v>4967.1428571428569</v>
      </c>
      <c r="I540" s="272">
        <f t="shared" si="177"/>
        <v>5228.5714285714284</v>
      </c>
      <c r="J540" s="272">
        <f t="shared" si="177"/>
        <v>5490</v>
      </c>
      <c r="K540" s="272">
        <f t="shared" si="177"/>
        <v>5751.4285714285716</v>
      </c>
      <c r="L540" s="272">
        <f t="shared" si="177"/>
        <v>6012.857142857144</v>
      </c>
      <c r="M540" s="272">
        <f t="shared" si="177"/>
        <v>6274.2857142857156</v>
      </c>
      <c r="N540" s="272">
        <f t="shared" si="177"/>
        <v>6535.7142857142881</v>
      </c>
      <c r="O540" s="272">
        <f t="shared" si="177"/>
        <v>6797.1428571428596</v>
      </c>
      <c r="P540" s="272">
        <f t="shared" si="177"/>
        <v>7058.5714285714321</v>
      </c>
      <c r="Q540" s="273">
        <f t="shared" si="177"/>
        <v>7320.0000000000036</v>
      </c>
      <c r="R540" s="274">
        <f t="shared" si="177"/>
        <v>7581.4285714285761</v>
      </c>
      <c r="S540" s="272">
        <f t="shared" si="177"/>
        <v>7842.8571428571477</v>
      </c>
      <c r="T540" s="272">
        <f t="shared" si="177"/>
        <v>8104.2857142857192</v>
      </c>
      <c r="U540" s="272">
        <f t="shared" si="177"/>
        <v>8365.7142857142917</v>
      </c>
      <c r="V540" s="275">
        <f t="shared" si="177"/>
        <v>8627.1428571428642</v>
      </c>
      <c r="W540" s="272">
        <f>W539*$B$4</f>
        <v>8888.5714285714366</v>
      </c>
      <c r="X540" s="272">
        <f>X539*$B$4</f>
        <v>9150.0000000000073</v>
      </c>
      <c r="Y540" s="272">
        <f>Y539*$B$4</f>
        <v>9411.4285714285797</v>
      </c>
      <c r="Z540" s="272">
        <f>Z539*$B$4</f>
        <v>9672.8571428571522</v>
      </c>
      <c r="AA540" s="276">
        <f>AA539*$B$4</f>
        <v>9934.2857142857247</v>
      </c>
    </row>
    <row r="541" spans="1:27">
      <c r="A541" s="199"/>
      <c r="B541" s="174"/>
      <c r="C541" s="7"/>
      <c r="D541" s="7"/>
      <c r="E541" s="7"/>
      <c r="F541" s="7"/>
      <c r="G541" s="7"/>
      <c r="H541" s="7"/>
      <c r="I541" s="7"/>
      <c r="J541" s="7"/>
      <c r="K541" s="7"/>
      <c r="L541" s="7"/>
      <c r="M541" s="7"/>
      <c r="N541" s="7"/>
      <c r="O541" s="7"/>
      <c r="P541" s="7"/>
      <c r="Q541" s="104"/>
      <c r="R541" s="174"/>
      <c r="S541" s="7"/>
      <c r="T541" s="7"/>
      <c r="U541" s="7"/>
      <c r="V541" s="179"/>
      <c r="W541" s="7"/>
      <c r="X541" s="7"/>
      <c r="Y541" s="7"/>
      <c r="Z541" s="7"/>
      <c r="AA541" s="175"/>
    </row>
    <row r="542" spans="1:27">
      <c r="A542" s="6" t="s">
        <v>25</v>
      </c>
      <c r="B542" s="139">
        <v>0</v>
      </c>
      <c r="C542" s="259">
        <f>B516</f>
        <v>0.18239999999999998</v>
      </c>
      <c r="D542" s="259">
        <f t="shared" ref="D542:AA542" si="178">C542+C543</f>
        <v>0.18342143999999999</v>
      </c>
      <c r="E542" s="259">
        <f t="shared" si="178"/>
        <v>0.18444860006399999</v>
      </c>
      <c r="F542" s="259">
        <f t="shared" si="178"/>
        <v>0.18548151222435838</v>
      </c>
      <c r="G542" s="259">
        <f t="shared" si="178"/>
        <v>0.1865202086928148</v>
      </c>
      <c r="H542" s="259">
        <f t="shared" si="178"/>
        <v>0.18756472186149456</v>
      </c>
      <c r="I542" s="259">
        <f t="shared" si="178"/>
        <v>0.18861508430391893</v>
      </c>
      <c r="J542" s="259">
        <f t="shared" si="178"/>
        <v>0.18967132877602089</v>
      </c>
      <c r="K542" s="259">
        <f t="shared" si="178"/>
        <v>0.1907334882171666</v>
      </c>
      <c r="L542" s="259">
        <f t="shared" si="178"/>
        <v>0.19180159575118272</v>
      </c>
      <c r="M542" s="259">
        <f t="shared" si="178"/>
        <v>0.19287568468738933</v>
      </c>
      <c r="N542" s="259">
        <f t="shared" si="178"/>
        <v>0.19395578852163872</v>
      </c>
      <c r="O542" s="259">
        <f t="shared" si="178"/>
        <v>0.19504194093735991</v>
      </c>
      <c r="P542" s="259">
        <f t="shared" si="178"/>
        <v>0.19613417580660913</v>
      </c>
      <c r="Q542" s="105">
        <f t="shared" si="178"/>
        <v>0.19723252719112613</v>
      </c>
      <c r="R542" s="260">
        <f t="shared" si="178"/>
        <v>0.19833702934339645</v>
      </c>
      <c r="S542" s="259">
        <f t="shared" si="178"/>
        <v>0.19944771670771946</v>
      </c>
      <c r="T542" s="259">
        <f t="shared" si="178"/>
        <v>0.20056462392128269</v>
      </c>
      <c r="U542" s="259">
        <f t="shared" si="178"/>
        <v>0.20168778581524188</v>
      </c>
      <c r="V542" s="261">
        <f t="shared" si="178"/>
        <v>0.20281723741580723</v>
      </c>
      <c r="W542" s="259">
        <f t="shared" si="178"/>
        <v>0.20395301394533574</v>
      </c>
      <c r="X542" s="259">
        <f t="shared" si="178"/>
        <v>0.20509515082342963</v>
      </c>
      <c r="Y542" s="259">
        <f t="shared" si="178"/>
        <v>0.20624368366804083</v>
      </c>
      <c r="Z542" s="259">
        <f t="shared" si="178"/>
        <v>0.20739864829658186</v>
      </c>
      <c r="AA542" s="262">
        <f t="shared" si="178"/>
        <v>0.20856008072704271</v>
      </c>
    </row>
    <row r="543" spans="1:27">
      <c r="A543" s="209" t="s">
        <v>248</v>
      </c>
      <c r="B543" s="139"/>
      <c r="C543" s="259">
        <f>C542*$B$517</f>
        <v>1.02144E-3</v>
      </c>
      <c r="D543" s="259">
        <f>D542*$B$517</f>
        <v>1.027160064E-3</v>
      </c>
      <c r="E543" s="259">
        <f t="shared" ref="E543:AA543" si="179">E542*$B$517</f>
        <v>1.0329121603583999E-3</v>
      </c>
      <c r="F543" s="259">
        <f t="shared" si="179"/>
        <v>1.0386964684564069E-3</v>
      </c>
      <c r="G543" s="259">
        <f t="shared" si="179"/>
        <v>1.0445131686797628E-3</v>
      </c>
      <c r="H543" s="259">
        <f t="shared" si="179"/>
        <v>1.0503624424243695E-3</v>
      </c>
      <c r="I543" s="259">
        <f t="shared" si="179"/>
        <v>1.0562444721019461E-3</v>
      </c>
      <c r="J543" s="259">
        <f t="shared" si="179"/>
        <v>1.062159441145717E-3</v>
      </c>
      <c r="K543" s="259">
        <f t="shared" si="179"/>
        <v>1.068107534016133E-3</v>
      </c>
      <c r="L543" s="259">
        <f t="shared" si="179"/>
        <v>1.0740889362066232E-3</v>
      </c>
      <c r="M543" s="259">
        <f t="shared" si="179"/>
        <v>1.0801038342493803E-3</v>
      </c>
      <c r="N543" s="259">
        <f t="shared" si="179"/>
        <v>1.0861524157211768E-3</v>
      </c>
      <c r="O543" s="259">
        <f t="shared" si="179"/>
        <v>1.0922348692492154E-3</v>
      </c>
      <c r="P543" s="259">
        <f t="shared" si="179"/>
        <v>1.0983513845170111E-3</v>
      </c>
      <c r="Q543" s="105">
        <f t="shared" si="179"/>
        <v>1.1045021522703064E-3</v>
      </c>
      <c r="R543" s="260">
        <f t="shared" si="179"/>
        <v>1.1106873643230201E-3</v>
      </c>
      <c r="S543" s="259">
        <f t="shared" si="179"/>
        <v>1.116907213563229E-3</v>
      </c>
      <c r="T543" s="259">
        <f t="shared" si="179"/>
        <v>1.1231618939591831E-3</v>
      </c>
      <c r="U543" s="259">
        <f t="shared" si="179"/>
        <v>1.1294516005653545E-3</v>
      </c>
      <c r="V543" s="261">
        <f t="shared" si="179"/>
        <v>1.1357765295285204E-3</v>
      </c>
      <c r="W543" s="259">
        <f t="shared" si="179"/>
        <v>1.1421368780938801E-3</v>
      </c>
      <c r="X543" s="259">
        <f t="shared" si="179"/>
        <v>1.1485328446112059E-3</v>
      </c>
      <c r="Y543" s="259">
        <f t="shared" si="179"/>
        <v>1.1549646285410285E-3</v>
      </c>
      <c r="Z543" s="259">
        <f t="shared" si="179"/>
        <v>1.1614324304608584E-3</v>
      </c>
      <c r="AA543" s="262">
        <f t="shared" si="179"/>
        <v>1.1679364520714392E-3</v>
      </c>
    </row>
    <row r="544" spans="1:27" ht="16">
      <c r="A544" s="180" t="s">
        <v>24</v>
      </c>
      <c r="B544" s="194">
        <f>B542*(($B$518*(1/$B$521))+IF(ISERROR($B$525),0,($B$522*(1/$B$525))))</f>
        <v>0</v>
      </c>
      <c r="C544" s="194">
        <f>C542*(($B$518*(1/$B$521))+IF(ISERROR($B$525),0,($B$522*(1/$B$525))))</f>
        <v>0.65828571428571436</v>
      </c>
      <c r="D544" s="194">
        <f t="shared" ref="D544:AA544" si="180">D542*(($B$518*(1/$B$521))+IF(ISERROR($B$525),0,($B$522*(1/$B$525))))</f>
        <v>0.66197211428571434</v>
      </c>
      <c r="E544" s="194">
        <f t="shared" si="180"/>
        <v>0.66567915812571443</v>
      </c>
      <c r="F544" s="194">
        <f t="shared" si="180"/>
        <v>0.66940696141121836</v>
      </c>
      <c r="G544" s="194">
        <f t="shared" si="180"/>
        <v>0.67315564039512121</v>
      </c>
      <c r="H544" s="194">
        <f t="shared" si="180"/>
        <v>0.67692531198133388</v>
      </c>
      <c r="I544" s="194">
        <f t="shared" si="180"/>
        <v>0.68071609372842934</v>
      </c>
      <c r="J544" s="194">
        <f t="shared" si="180"/>
        <v>0.68452810385330864</v>
      </c>
      <c r="K544" s="194">
        <f t="shared" si="180"/>
        <v>0.68836146123488706</v>
      </c>
      <c r="L544" s="194">
        <f t="shared" si="180"/>
        <v>0.69221628541780245</v>
      </c>
      <c r="M544" s="194">
        <f t="shared" si="180"/>
        <v>0.69609269661614204</v>
      </c>
      <c r="N544" s="194">
        <f t="shared" si="180"/>
        <v>0.69999081571719246</v>
      </c>
      <c r="O544" s="194">
        <f t="shared" si="180"/>
        <v>0.70391076428520882</v>
      </c>
      <c r="P544" s="194">
        <f t="shared" si="180"/>
        <v>0.70785266456520601</v>
      </c>
      <c r="Q544" s="195">
        <f t="shared" si="180"/>
        <v>0.7118166394867711</v>
      </c>
      <c r="R544" s="196">
        <f t="shared" si="180"/>
        <v>0.71580281266789714</v>
      </c>
      <c r="S544" s="194">
        <f t="shared" si="180"/>
        <v>0.71981130841883734</v>
      </c>
      <c r="T544" s="194">
        <f t="shared" si="180"/>
        <v>0.72384225174598271</v>
      </c>
      <c r="U544" s="194">
        <f t="shared" si="180"/>
        <v>0.72789576835576031</v>
      </c>
      <c r="V544" s="195">
        <f t="shared" si="180"/>
        <v>0.73197198465855251</v>
      </c>
      <c r="W544" s="194">
        <f t="shared" si="180"/>
        <v>0.73607102777264044</v>
      </c>
      <c r="X544" s="194">
        <f t="shared" si="180"/>
        <v>0.74019302552816724</v>
      </c>
      <c r="Y544" s="194">
        <f t="shared" si="180"/>
        <v>0.74433810647112497</v>
      </c>
      <c r="Z544" s="194">
        <f t="shared" si="180"/>
        <v>0.74850639986736323</v>
      </c>
      <c r="AA544" s="195">
        <f t="shared" si="180"/>
        <v>0.75269803570662042</v>
      </c>
    </row>
    <row r="545" spans="1:27" s="24" customFormat="1" ht="16" thickBot="1">
      <c r="A545" s="197" t="s">
        <v>89</v>
      </c>
      <c r="B545" s="201">
        <f>B544*$B$4</f>
        <v>0</v>
      </c>
      <c r="C545" s="277">
        <f>C544*$B$4</f>
        <v>658.28571428571433</v>
      </c>
      <c r="D545" s="277">
        <f>D544*$B$4</f>
        <v>661.97211428571438</v>
      </c>
      <c r="E545" s="277">
        <f>E544*$B$4</f>
        <v>665.67915812571448</v>
      </c>
      <c r="F545" s="277">
        <f t="shared" ref="F545:V545" si="181">F544*$B$4</f>
        <v>669.40696141121839</v>
      </c>
      <c r="G545" s="277">
        <f t="shared" si="181"/>
        <v>673.15564039512117</v>
      </c>
      <c r="H545" s="277">
        <f t="shared" si="181"/>
        <v>676.92531198133383</v>
      </c>
      <c r="I545" s="277">
        <f t="shared" si="181"/>
        <v>680.71609372842931</v>
      </c>
      <c r="J545" s="277">
        <f t="shared" si="181"/>
        <v>684.52810385330861</v>
      </c>
      <c r="K545" s="277">
        <f t="shared" si="181"/>
        <v>688.36146123488709</v>
      </c>
      <c r="L545" s="277">
        <f t="shared" si="181"/>
        <v>692.2162854178024</v>
      </c>
      <c r="M545" s="277">
        <f t="shared" si="181"/>
        <v>696.09269661614201</v>
      </c>
      <c r="N545" s="277">
        <f t="shared" si="181"/>
        <v>699.9908157171925</v>
      </c>
      <c r="O545" s="277">
        <f t="shared" si="181"/>
        <v>703.91076428520887</v>
      </c>
      <c r="P545" s="277">
        <f t="shared" si="181"/>
        <v>707.85266456520606</v>
      </c>
      <c r="Q545" s="278">
        <f t="shared" si="181"/>
        <v>711.81663948677112</v>
      </c>
      <c r="R545" s="279">
        <f t="shared" si="181"/>
        <v>715.80281266789711</v>
      </c>
      <c r="S545" s="277">
        <f t="shared" si="181"/>
        <v>719.81130841883737</v>
      </c>
      <c r="T545" s="277">
        <f t="shared" si="181"/>
        <v>723.84225174598271</v>
      </c>
      <c r="U545" s="277">
        <f t="shared" si="181"/>
        <v>727.89576835576031</v>
      </c>
      <c r="V545" s="280">
        <f t="shared" si="181"/>
        <v>731.97198465855251</v>
      </c>
      <c r="W545" s="277">
        <f>W544*$B$4</f>
        <v>736.07102777264049</v>
      </c>
      <c r="X545" s="277">
        <f>X544*$B$4</f>
        <v>740.19302552816725</v>
      </c>
      <c r="Y545" s="277">
        <f>Y544*$B$4</f>
        <v>744.338106471125</v>
      </c>
      <c r="Z545" s="277">
        <f>Z544*$B$4</f>
        <v>748.50639986736326</v>
      </c>
      <c r="AA545" s="281">
        <f>AA544*$B$4</f>
        <v>752.69803570662043</v>
      </c>
    </row>
    <row r="546" spans="1:27" s="24" customFormat="1">
      <c r="A546" s="167"/>
      <c r="B546" s="168"/>
      <c r="C546" s="169"/>
      <c r="D546" s="169"/>
      <c r="E546" s="169"/>
      <c r="F546" s="169"/>
      <c r="G546" s="169"/>
      <c r="H546" s="169"/>
      <c r="I546" s="169"/>
      <c r="J546" s="169"/>
      <c r="K546" s="169"/>
      <c r="L546" s="169"/>
      <c r="M546" s="169"/>
      <c r="N546" s="169"/>
      <c r="O546" s="169"/>
      <c r="P546" s="169"/>
      <c r="Q546" s="170"/>
      <c r="R546" s="171"/>
      <c r="S546" s="169"/>
      <c r="T546" s="169"/>
      <c r="U546" s="169"/>
      <c r="V546" s="172"/>
      <c r="W546" s="169"/>
      <c r="X546" s="169"/>
      <c r="Y546" s="169"/>
      <c r="Z546" s="169"/>
      <c r="AA546" s="173"/>
    </row>
    <row r="547" spans="1:27" ht="16">
      <c r="A547" s="6" t="s">
        <v>34</v>
      </c>
      <c r="B547" s="291">
        <f t="shared" ref="B547:N547" si="182">B535+B539+B544</f>
        <v>366</v>
      </c>
      <c r="C547" s="118">
        <f t="shared" si="182"/>
        <v>4.3182857142857145</v>
      </c>
      <c r="D547" s="118">
        <f t="shared" si="182"/>
        <v>4.5834006857142855</v>
      </c>
      <c r="E547" s="118">
        <f t="shared" si="182"/>
        <v>4.8485363009828575</v>
      </c>
      <c r="F547" s="118">
        <f t="shared" si="182"/>
        <v>5.1136926756969325</v>
      </c>
      <c r="G547" s="118">
        <f>G535+G539+G544</f>
        <v>5.3788699261094068</v>
      </c>
      <c r="H547" s="118">
        <f t="shared" si="182"/>
        <v>5.644068169124191</v>
      </c>
      <c r="I547" s="118">
        <f t="shared" si="182"/>
        <v>5.9092875222998575</v>
      </c>
      <c r="J547" s="118">
        <f t="shared" si="182"/>
        <v>6.1745281038533086</v>
      </c>
      <c r="K547" s="118">
        <f t="shared" si="182"/>
        <v>6.439790032663459</v>
      </c>
      <c r="L547" s="118">
        <f t="shared" si="182"/>
        <v>6.7050734282749467</v>
      </c>
      <c r="M547" s="118">
        <f t="shared" si="182"/>
        <v>6.9703784109018576</v>
      </c>
      <c r="N547" s="118">
        <f t="shared" si="182"/>
        <v>7.2357051014314804</v>
      </c>
      <c r="O547" s="118">
        <f>O535+O539+O544</f>
        <v>7.5010536214280688</v>
      </c>
      <c r="P547" s="118">
        <f t="shared" ref="P547:AA547" si="183">P535+P539+P544</f>
        <v>7.7664240931366386</v>
      </c>
      <c r="Q547" s="202">
        <f t="shared" si="183"/>
        <v>374.03181663948675</v>
      </c>
      <c r="R547" s="136">
        <f t="shared" si="183"/>
        <v>8.2972313840964738</v>
      </c>
      <c r="S547" s="118">
        <f t="shared" si="183"/>
        <v>8.5626684512759859</v>
      </c>
      <c r="T547" s="118">
        <f t="shared" si="183"/>
        <v>8.8281279660317029</v>
      </c>
      <c r="U547" s="118">
        <f t="shared" si="183"/>
        <v>9.0936100540700515</v>
      </c>
      <c r="V547" s="203">
        <f t="shared" si="183"/>
        <v>9.3591148418014161</v>
      </c>
      <c r="W547" s="118">
        <f t="shared" si="183"/>
        <v>9.6246424563440769</v>
      </c>
      <c r="X547" s="118">
        <f t="shared" si="183"/>
        <v>9.8901930255281751</v>
      </c>
      <c r="Y547" s="118">
        <f t="shared" si="183"/>
        <v>10.155766677899704</v>
      </c>
      <c r="Z547" s="118">
        <f t="shared" si="183"/>
        <v>10.421363542724515</v>
      </c>
      <c r="AA547" s="204">
        <f t="shared" si="183"/>
        <v>10.686983749992345</v>
      </c>
    </row>
    <row r="548" spans="1:27" ht="16" thickBot="1">
      <c r="A548" s="135" t="s">
        <v>35</v>
      </c>
      <c r="B548" s="243">
        <f>($B$4*B547)</f>
        <v>366000</v>
      </c>
      <c r="C548" s="243">
        <f>$B$4*C547</f>
        <v>4318.2857142857147</v>
      </c>
      <c r="D548" s="243">
        <f>$B$4*D547</f>
        <v>4583.4006857142858</v>
      </c>
      <c r="E548" s="243">
        <f>$B$4*E547</f>
        <v>4848.5363009828579</v>
      </c>
      <c r="F548" s="243">
        <f t="shared" ref="F548:V548" si="184">$B$4*F547</f>
        <v>5113.6926756969324</v>
      </c>
      <c r="G548" s="243">
        <f t="shared" si="184"/>
        <v>5378.8699261094071</v>
      </c>
      <c r="H548" s="243">
        <f t="shared" si="184"/>
        <v>5644.0681691241907</v>
      </c>
      <c r="I548" s="243">
        <f t="shared" si="184"/>
        <v>5909.2875222998573</v>
      </c>
      <c r="J548" s="243">
        <f t="shared" si="184"/>
        <v>6174.5281038533085</v>
      </c>
      <c r="K548" s="243">
        <f t="shared" si="184"/>
        <v>6439.790032663459</v>
      </c>
      <c r="L548" s="243">
        <f t="shared" si="184"/>
        <v>6705.0734282749463</v>
      </c>
      <c r="M548" s="243">
        <f t="shared" si="184"/>
        <v>6970.3784109018579</v>
      </c>
      <c r="N548" s="243">
        <f t="shared" si="184"/>
        <v>7235.7051014314802</v>
      </c>
      <c r="O548" s="243">
        <f t="shared" si="184"/>
        <v>7501.0536214280692</v>
      </c>
      <c r="P548" s="243">
        <f t="shared" si="184"/>
        <v>7766.4240931366385</v>
      </c>
      <c r="Q548" s="250">
        <f t="shared" si="184"/>
        <v>374031.81663948676</v>
      </c>
      <c r="R548" s="251">
        <f t="shared" si="184"/>
        <v>8297.2313840964744</v>
      </c>
      <c r="S548" s="243">
        <f t="shared" si="184"/>
        <v>8562.6684512759857</v>
      </c>
      <c r="T548" s="243">
        <f t="shared" si="184"/>
        <v>8828.1279660317032</v>
      </c>
      <c r="U548" s="243">
        <f t="shared" si="184"/>
        <v>9093.6100540700518</v>
      </c>
      <c r="V548" s="265">
        <f t="shared" si="184"/>
        <v>9359.1148418014163</v>
      </c>
      <c r="W548" s="243">
        <f>$B$4*W547</f>
        <v>9624.6424563440778</v>
      </c>
      <c r="X548" s="243">
        <f>$B$4*X547</f>
        <v>9890.193025528175</v>
      </c>
      <c r="Y548" s="243">
        <f>$B$4*Y547</f>
        <v>10155.766677899705</v>
      </c>
      <c r="Z548" s="243">
        <f>$B$4*Z547</f>
        <v>10421.363542724515</v>
      </c>
      <c r="AA548" s="32">
        <f>$B$4*AA547</f>
        <v>10686.983749992345</v>
      </c>
    </row>
    <row r="549" spans="1:27" ht="17" thickTop="1" thickBot="1">
      <c r="A549" s="236"/>
      <c r="B549" s="28" t="s">
        <v>98</v>
      </c>
      <c r="C549" s="29" t="s">
        <v>91</v>
      </c>
      <c r="D549" s="30" t="s">
        <v>92</v>
      </c>
      <c r="E549" s="205"/>
      <c r="F549" s="205"/>
      <c r="G549" s="205"/>
      <c r="H549" s="205"/>
      <c r="I549" s="205"/>
      <c r="J549" s="205"/>
      <c r="K549" s="205"/>
      <c r="L549" s="205"/>
      <c r="M549" s="205"/>
      <c r="N549" s="263"/>
      <c r="O549" s="263"/>
      <c r="P549" s="263"/>
      <c r="Q549" s="263"/>
      <c r="R549" s="263"/>
      <c r="S549" s="263"/>
      <c r="T549" s="263"/>
      <c r="U549" s="263"/>
      <c r="V549" s="263"/>
      <c r="W549" s="263"/>
      <c r="X549" s="263"/>
      <c r="Y549" s="263"/>
      <c r="Z549" s="263"/>
      <c r="AA549" s="263"/>
    </row>
    <row r="550" spans="1:27" ht="16">
      <c r="A550" s="6" t="s">
        <v>36</v>
      </c>
      <c r="B550" s="206">
        <f>NPV($B$5,C547,D547:Q547)+B547-(Q534/((1+B528)^15))</f>
        <v>427.60629674617155</v>
      </c>
      <c r="C550" s="207">
        <f>NPV($B$5,C547,D547:V547)+B547-(V534/((1+B528)^20))</f>
        <v>530.02871376337794</v>
      </c>
      <c r="D550" s="31">
        <f>NPV($B$5,C547,D547:AA547)+B547-(AA534/((1+B528)^25))</f>
        <v>602.49211512730687</v>
      </c>
      <c r="E550" s="208"/>
      <c r="F550" s="5"/>
      <c r="G550" s="5"/>
      <c r="H550" s="5"/>
      <c r="I550" s="5"/>
      <c r="J550" s="5"/>
      <c r="K550" s="5"/>
      <c r="L550" s="5"/>
      <c r="M550" s="5"/>
      <c r="N550" s="5"/>
      <c r="O550" s="5"/>
      <c r="P550" s="5"/>
      <c r="Q550" s="5"/>
      <c r="R550" s="5"/>
      <c r="S550" s="5"/>
      <c r="T550" s="5"/>
      <c r="U550" s="5"/>
      <c r="V550" s="5"/>
      <c r="W550" s="5"/>
      <c r="X550" s="4"/>
      <c r="Y550" s="4"/>
      <c r="Z550" s="4"/>
      <c r="AA550" s="4"/>
    </row>
    <row r="551" spans="1:27">
      <c r="A551" s="264" t="s">
        <v>37</v>
      </c>
      <c r="B551" s="210">
        <f>(NPV(B528,C548,D548:Q548))+B548-(Q534*$B$4/(1+B528)^15)</f>
        <v>427606.29674617155</v>
      </c>
      <c r="C551" s="211">
        <f>(NPV(B528,C548,D548:V548))+B548-(V534*$B$4/(1+B528)^20)</f>
        <v>530028.71376337786</v>
      </c>
      <c r="D551" s="212">
        <f>(NPV(B528,C548,D548:AA548))+B548-(AA534*$B$4/(1+B528)^25)</f>
        <v>602492.1151273069</v>
      </c>
      <c r="E551" s="213"/>
      <c r="F551" s="213"/>
      <c r="G551" s="213"/>
      <c r="H551" s="214"/>
      <c r="I551" s="23"/>
      <c r="J551" s="23"/>
      <c r="K551" s="23"/>
      <c r="L551" s="23"/>
      <c r="M551" s="23"/>
      <c r="N551" s="23"/>
      <c r="O551" s="23"/>
      <c r="P551" s="23"/>
      <c r="Q551" s="23"/>
      <c r="R551" s="23"/>
      <c r="S551" s="23"/>
      <c r="T551" s="23"/>
      <c r="U551" s="23"/>
      <c r="V551" s="23"/>
      <c r="W551" s="23"/>
      <c r="X551" s="4"/>
      <c r="Y551" s="4"/>
      <c r="Z551" s="4"/>
      <c r="AA551" s="4"/>
    </row>
    <row r="552" spans="1:27">
      <c r="A552" s="209" t="s">
        <v>85</v>
      </c>
      <c r="B552" s="210">
        <f>NPV(B528,C536,D536:Q536)+B536-(Q534*$B$4/(1+B528)^15)</f>
        <v>366000</v>
      </c>
      <c r="C552" s="211">
        <f>NPV(B528,C536,D536:V536)+B536-(V534*$B$4/(1+B528)^20)</f>
        <v>450091.2240802829</v>
      </c>
      <c r="D552" s="212">
        <f>NPV(B528,C536,D536:AA536)+B536-(AA534*$B$4/(1+B528)^25)</f>
        <v>506025.3197541681</v>
      </c>
      <c r="E552" s="213"/>
      <c r="F552" s="213"/>
      <c r="G552" s="213"/>
      <c r="H552" s="214"/>
      <c r="I552" s="23"/>
      <c r="J552" s="23"/>
      <c r="K552" s="23"/>
      <c r="L552" s="23"/>
      <c r="M552" s="23"/>
      <c r="N552" s="23"/>
      <c r="O552" s="23"/>
      <c r="P552" s="23"/>
      <c r="Q552" s="23"/>
      <c r="R552" s="23"/>
      <c r="S552" s="23"/>
      <c r="T552" s="23"/>
      <c r="U552" s="23"/>
      <c r="V552" s="23"/>
      <c r="W552" s="23"/>
      <c r="X552" s="4"/>
      <c r="Y552" s="4"/>
      <c r="Z552" s="4"/>
      <c r="AA552" s="4"/>
    </row>
    <row r="553" spans="1:27">
      <c r="A553" s="209" t="s">
        <v>86</v>
      </c>
      <c r="B553" s="210">
        <f>NPV(B528,C540,D540:Q540)+B540</f>
        <v>54534.848040521967</v>
      </c>
      <c r="C553" s="211">
        <f>NPV(B528,C540,D540:V540)+B540</f>
        <v>71359.375149971631</v>
      </c>
      <c r="D553" s="212">
        <f>NPV(B528,C540,D540:AA540)+B540</f>
        <v>86674.742113693195</v>
      </c>
      <c r="E553" s="213"/>
      <c r="F553" s="213"/>
      <c r="G553" s="213"/>
      <c r="H553" s="214"/>
      <c r="I553" s="23"/>
      <c r="J553" s="23"/>
      <c r="K553" s="23"/>
      <c r="L553" s="23"/>
      <c r="M553" s="23"/>
      <c r="N553" s="23"/>
      <c r="O553" s="23"/>
      <c r="P553" s="23"/>
      <c r="Q553" s="23"/>
      <c r="R553" s="23"/>
      <c r="S553" s="23"/>
      <c r="T553" s="23"/>
      <c r="U553" s="23"/>
      <c r="V553" s="23"/>
      <c r="W553" s="23"/>
      <c r="X553" s="4"/>
      <c r="Y553" s="4"/>
      <c r="Z553" s="4"/>
      <c r="AA553" s="4"/>
    </row>
    <row r="554" spans="1:27">
      <c r="A554" s="209" t="s">
        <v>90</v>
      </c>
      <c r="B554" s="210">
        <f>NPV(B528,C545,D545:Q545)+B545</f>
        <v>7071.4487056497301</v>
      </c>
      <c r="C554" s="211">
        <f>NPV(B528,C545,D545:V545)+B545</f>
        <v>8578.1145331235512</v>
      </c>
      <c r="D554" s="212">
        <f>NPV(B528,C545,D545:AA545)+B545</f>
        <v>9792.0532594457763</v>
      </c>
      <c r="E554" s="213"/>
      <c r="F554" s="213"/>
      <c r="G554" s="213"/>
      <c r="H554" s="214"/>
      <c r="I554" s="23"/>
      <c r="J554" s="23"/>
      <c r="K554" s="23"/>
      <c r="L554" s="23"/>
      <c r="M554" s="23"/>
      <c r="N554" s="23"/>
      <c r="O554" s="23"/>
      <c r="P554" s="23"/>
      <c r="Q554" s="23"/>
      <c r="R554" s="23"/>
      <c r="S554" s="23"/>
      <c r="T554" s="23"/>
      <c r="U554" s="23"/>
      <c r="V554" s="23"/>
      <c r="W554" s="23"/>
      <c r="X554" s="4"/>
      <c r="Y554" s="4"/>
      <c r="Z554" s="4"/>
      <c r="AA554" s="4"/>
    </row>
    <row r="555" spans="1:27" s="1" customFormat="1" ht="16" thickBot="1">
      <c r="A555" s="215" t="s">
        <v>303</v>
      </c>
      <c r="B555" s="216">
        <f>((Q534-Q533)/(1+B528)^15)*$B$4</f>
        <v>2.7342656385995394E-11</v>
      </c>
      <c r="C555" s="217">
        <f>((V534-V533)/(1+B528)^20)*$B$4</f>
        <v>91961.033821012199</v>
      </c>
      <c r="D555" s="218">
        <f>(AA534/(1+B528)^25)*$B$4</f>
        <v>36026.93814712701</v>
      </c>
      <c r="E555" s="219"/>
      <c r="F555" s="219"/>
      <c r="G555" s="219"/>
      <c r="H555" s="23"/>
      <c r="I555" s="23"/>
      <c r="J555" s="23"/>
      <c r="K555" s="23"/>
      <c r="L555" s="23"/>
      <c r="M555" s="23"/>
      <c r="N555" s="23"/>
      <c r="O555" s="23"/>
      <c r="P555" s="23"/>
      <c r="Q555" s="23"/>
      <c r="R555" s="23"/>
      <c r="S555" s="23"/>
      <c r="T555" s="23"/>
      <c r="U555" s="23"/>
      <c r="V555" s="23"/>
      <c r="W555" s="23"/>
      <c r="X555" s="3"/>
      <c r="Y555" s="3"/>
      <c r="Z555" s="3"/>
      <c r="AA555" s="3"/>
    </row>
    <row r="556" spans="1:27" ht="16" thickTop="1">
      <c r="A556" s="4"/>
      <c r="B556" s="480"/>
      <c r="C556" s="480"/>
      <c r="D556" s="480"/>
      <c r="E556" s="5"/>
      <c r="F556" s="5"/>
      <c r="G556" s="5"/>
      <c r="H556" s="5"/>
      <c r="I556" s="5"/>
      <c r="J556" s="5"/>
      <c r="K556" s="5"/>
      <c r="L556" s="5"/>
      <c r="M556" s="5"/>
      <c r="N556" s="5"/>
      <c r="O556" s="5"/>
      <c r="P556" s="5"/>
      <c r="Q556" s="5"/>
      <c r="R556" s="5"/>
      <c r="S556" s="5"/>
      <c r="T556" s="5"/>
      <c r="U556" s="5"/>
      <c r="V556" s="4"/>
      <c r="W556" s="4"/>
      <c r="X556" s="4"/>
      <c r="Y556" s="4"/>
      <c r="Z556" s="4"/>
      <c r="AA556" s="4"/>
    </row>
    <row r="557" spans="1:27" ht="16" thickBot="1">
      <c r="A557" s="4"/>
      <c r="B557" s="481"/>
      <c r="C557" s="13"/>
      <c r="D557" s="486"/>
      <c r="E557" s="5"/>
      <c r="F557" s="5"/>
      <c r="G557" s="5"/>
      <c r="H557" s="5"/>
      <c r="I557" s="5"/>
      <c r="J557" s="5"/>
      <c r="K557" s="5"/>
      <c r="L557" s="5"/>
      <c r="M557" s="5"/>
      <c r="N557" s="5"/>
      <c r="O557" s="5"/>
      <c r="P557" s="5"/>
      <c r="Q557" s="5"/>
      <c r="R557" s="5"/>
      <c r="S557" s="5"/>
      <c r="T557" s="5"/>
      <c r="U557" s="5"/>
      <c r="V557" s="5"/>
      <c r="W557" s="4"/>
      <c r="X557" s="4"/>
      <c r="Y557" s="4"/>
      <c r="Z557" s="4"/>
      <c r="AA557" s="4"/>
    </row>
    <row r="558" spans="1:27" ht="35" customHeight="1" thickTop="1" thickBot="1">
      <c r="A558" s="1014" t="s">
        <v>355</v>
      </c>
      <c r="B558" s="1015"/>
      <c r="C558" s="220"/>
      <c r="D558" s="149"/>
      <c r="E558" s="149"/>
      <c r="F558" s="149"/>
      <c r="G558" s="149"/>
      <c r="H558" s="149"/>
      <c r="I558" s="149"/>
      <c r="J558" s="149"/>
      <c r="K558" s="149"/>
      <c r="L558" s="149"/>
      <c r="M558" s="149"/>
      <c r="N558" s="149"/>
      <c r="O558" s="149"/>
      <c r="P558" s="149"/>
      <c r="Q558" s="149"/>
      <c r="R558" s="149"/>
      <c r="S558" s="149"/>
      <c r="T558" s="149"/>
      <c r="U558" s="149"/>
      <c r="V558" s="149"/>
      <c r="W558" s="4"/>
      <c r="X558" s="4"/>
      <c r="Y558" s="4"/>
      <c r="Z558" s="4"/>
      <c r="AA558" s="4"/>
    </row>
    <row r="559" spans="1:27">
      <c r="A559" s="150" t="s">
        <v>83</v>
      </c>
      <c r="B559" s="657">
        <f>IF(OR(Inputs!E36="No",Inputs!$C$8="Yes"),"",Inputs!$D$16)</f>
        <v>0.18239999999999998</v>
      </c>
      <c r="C559" s="152" t="s">
        <v>193</v>
      </c>
      <c r="D559" s="149"/>
      <c r="E559" s="149"/>
      <c r="F559" s="149"/>
      <c r="G559" s="149"/>
      <c r="H559" s="149"/>
      <c r="I559" s="149"/>
      <c r="J559" s="149"/>
      <c r="K559" s="149"/>
      <c r="L559" s="149"/>
      <c r="M559" s="149"/>
      <c r="N559" s="149"/>
      <c r="O559" s="149"/>
      <c r="P559" s="149"/>
      <c r="Q559" s="149"/>
      <c r="R559" s="149"/>
      <c r="S559" s="149"/>
      <c r="T559" s="149"/>
      <c r="U559" s="149"/>
      <c r="V559" s="149"/>
      <c r="W559" s="4"/>
      <c r="X559" s="4"/>
      <c r="Y559" s="4"/>
      <c r="Z559" s="4"/>
      <c r="AA559" s="4"/>
    </row>
    <row r="560" spans="1:27">
      <c r="A560" s="150" t="s">
        <v>221</v>
      </c>
      <c r="B560" s="151">
        <f>'Regional Fuel Costs'!C49</f>
        <v>5.5999999999999999E-3</v>
      </c>
      <c r="C560" s="152" t="s">
        <v>193</v>
      </c>
      <c r="D560" s="149"/>
      <c r="E560" s="149"/>
      <c r="F560" s="149"/>
      <c r="G560" s="149"/>
      <c r="H560" s="149"/>
      <c r="I560" s="149"/>
      <c r="J560" s="149"/>
      <c r="K560" s="149"/>
      <c r="L560" s="149"/>
      <c r="M560" s="149"/>
      <c r="N560" s="149"/>
      <c r="O560" s="149"/>
      <c r="P560" s="149"/>
      <c r="Q560" s="149"/>
      <c r="R560" s="149"/>
      <c r="S560" s="149"/>
      <c r="T560" s="149"/>
      <c r="U560" s="149"/>
      <c r="V560" s="149"/>
      <c r="W560" s="4"/>
      <c r="X560" s="4"/>
      <c r="Y560" s="4"/>
      <c r="Z560" s="4"/>
      <c r="AA560" s="4"/>
    </row>
    <row r="561" spans="1:27" ht="16">
      <c r="A561" s="150" t="s">
        <v>412</v>
      </c>
      <c r="B561" s="658">
        <f>Inputs!$D$11</f>
        <v>12</v>
      </c>
      <c r="C561" s="154" t="s">
        <v>290</v>
      </c>
      <c r="D561" s="149"/>
      <c r="E561" s="149"/>
      <c r="F561" s="149"/>
      <c r="G561" s="149"/>
      <c r="H561" s="149"/>
      <c r="I561" s="149"/>
      <c r="J561" s="149"/>
      <c r="K561" s="149"/>
      <c r="L561" s="149"/>
      <c r="M561" s="149"/>
      <c r="N561" s="149"/>
      <c r="O561" s="149"/>
      <c r="P561" s="149"/>
      <c r="Q561" s="149"/>
      <c r="R561" s="149"/>
      <c r="S561" s="149"/>
      <c r="T561" s="149"/>
      <c r="U561" s="149"/>
      <c r="V561" s="149"/>
      <c r="W561" s="4"/>
      <c r="X561" s="4"/>
      <c r="Y561" s="4"/>
      <c r="Z561" s="4"/>
      <c r="AA561" s="4"/>
    </row>
    <row r="562" spans="1:27">
      <c r="A562" s="150" t="s">
        <v>100</v>
      </c>
      <c r="B562" s="658">
        <f>Inputs!K36</f>
        <v>1</v>
      </c>
      <c r="C562" s="155" t="s">
        <v>196</v>
      </c>
      <c r="D562" s="149"/>
      <c r="E562" s="149"/>
      <c r="F562" s="149"/>
      <c r="G562" s="149"/>
      <c r="H562" s="149"/>
      <c r="I562" s="149"/>
      <c r="J562" s="149"/>
      <c r="K562" s="149"/>
      <c r="L562" s="149"/>
      <c r="M562" s="149"/>
      <c r="N562" s="149"/>
      <c r="O562" s="149"/>
      <c r="P562" s="149"/>
      <c r="Q562" s="149"/>
      <c r="R562" s="149"/>
      <c r="S562" s="149"/>
      <c r="T562" s="149"/>
      <c r="U562" s="149"/>
      <c r="V562" s="149"/>
      <c r="W562" s="4"/>
      <c r="X562" s="4"/>
      <c r="Y562" s="4"/>
      <c r="Z562" s="4"/>
      <c r="AA562" s="4"/>
    </row>
    <row r="563" spans="1:27">
      <c r="A563" s="150" t="s">
        <v>84</v>
      </c>
      <c r="B563" s="156">
        <f>'System Efficiencies'!C14</f>
        <v>0.93</v>
      </c>
      <c r="C563" s="155" t="s">
        <v>196</v>
      </c>
      <c r="D563" s="149"/>
      <c r="E563" s="149"/>
      <c r="F563" s="149"/>
      <c r="G563" s="149"/>
      <c r="H563" s="149"/>
      <c r="I563" s="149"/>
      <c r="J563" s="149"/>
      <c r="K563" s="149"/>
      <c r="L563" s="149"/>
      <c r="M563" s="149"/>
      <c r="N563" s="149"/>
      <c r="O563" s="149"/>
      <c r="P563" s="149"/>
      <c r="Q563" s="149"/>
      <c r="R563" s="149"/>
      <c r="S563" s="149"/>
      <c r="T563" s="149"/>
      <c r="U563" s="149"/>
      <c r="V563" s="149"/>
      <c r="W563" s="4"/>
      <c r="X563" s="4"/>
      <c r="Y563" s="4"/>
      <c r="Z563" s="4"/>
      <c r="AA563" s="4"/>
    </row>
    <row r="564" spans="1:27">
      <c r="A564" s="150" t="s">
        <v>99</v>
      </c>
      <c r="B564" s="659">
        <f>B562*B563</f>
        <v>0.93</v>
      </c>
      <c r="C564" s="155" t="s">
        <v>196</v>
      </c>
      <c r="D564" s="149"/>
      <c r="E564" s="149"/>
      <c r="F564" s="149"/>
      <c r="G564" s="149"/>
      <c r="H564" s="149"/>
      <c r="I564" s="149"/>
      <c r="J564" s="149"/>
      <c r="K564" s="149"/>
      <c r="L564" s="149"/>
      <c r="M564" s="149"/>
      <c r="N564" s="149"/>
      <c r="O564" s="149"/>
      <c r="P564" s="149"/>
      <c r="Q564" s="149"/>
      <c r="R564" s="149"/>
      <c r="S564" s="149"/>
      <c r="T564" s="149"/>
      <c r="U564" s="149"/>
      <c r="V564" s="149"/>
      <c r="W564" s="4"/>
      <c r="X564" s="4"/>
      <c r="Y564" s="4"/>
      <c r="Z564" s="4"/>
      <c r="AA564" s="4"/>
    </row>
    <row r="565" spans="1:27" ht="16">
      <c r="A565" s="150" t="s">
        <v>82</v>
      </c>
      <c r="B565" s="658">
        <f>IF(Inputs!$C$8="Yes",0,Inputs!I36)</f>
        <v>77</v>
      </c>
      <c r="C565" s="157" t="s">
        <v>195</v>
      </c>
      <c r="D565" s="149"/>
      <c r="E565" s="149"/>
      <c r="F565" s="149"/>
      <c r="G565" s="149"/>
      <c r="H565" s="149"/>
      <c r="I565" s="149"/>
      <c r="J565" s="149"/>
      <c r="K565" s="149"/>
      <c r="L565" s="149"/>
      <c r="M565" s="149"/>
      <c r="N565" s="149"/>
      <c r="O565" s="149"/>
      <c r="P565" s="149"/>
      <c r="Q565" s="149"/>
      <c r="R565" s="149"/>
      <c r="S565" s="149"/>
      <c r="T565" s="149"/>
      <c r="U565" s="149"/>
      <c r="V565" s="149"/>
      <c r="W565" s="4"/>
      <c r="X565" s="4"/>
      <c r="Y565" s="4"/>
      <c r="Z565" s="4"/>
      <c r="AA565" s="4"/>
    </row>
    <row r="566" spans="1:27">
      <c r="A566" s="150" t="s">
        <v>81</v>
      </c>
      <c r="B566" s="153">
        <f>'Capital Cost Structure'!E87</f>
        <v>15</v>
      </c>
      <c r="C566" s="157" t="s">
        <v>195</v>
      </c>
      <c r="D566" s="149"/>
      <c r="E566" s="149"/>
      <c r="F566" s="149"/>
      <c r="G566" s="149"/>
      <c r="H566" s="149"/>
      <c r="I566" s="149"/>
      <c r="J566" s="149"/>
      <c r="K566" s="149"/>
      <c r="L566" s="149"/>
      <c r="M566" s="149"/>
      <c r="N566" s="149"/>
      <c r="O566" s="149"/>
      <c r="P566" s="149"/>
      <c r="Q566" s="149"/>
      <c r="R566" s="149"/>
      <c r="S566" s="149"/>
      <c r="T566" s="149"/>
      <c r="U566" s="149"/>
      <c r="V566" s="149"/>
      <c r="W566" s="4"/>
      <c r="X566" s="4"/>
      <c r="Y566" s="4"/>
      <c r="Z566" s="4"/>
      <c r="AA566" s="4"/>
    </row>
    <row r="567" spans="1:27">
      <c r="A567" s="150" t="s">
        <v>32</v>
      </c>
      <c r="B567" s="153">
        <f>$B$5</f>
        <v>0.05</v>
      </c>
      <c r="C567" s="158" t="s">
        <v>194</v>
      </c>
      <c r="D567" s="149"/>
      <c r="E567" s="149"/>
      <c r="F567" s="149"/>
      <c r="G567" s="149"/>
      <c r="H567" s="149"/>
      <c r="I567" s="149"/>
      <c r="J567" s="149"/>
      <c r="K567" s="149"/>
      <c r="L567" s="149"/>
      <c r="M567" s="149"/>
      <c r="N567" s="149"/>
      <c r="O567" s="149"/>
      <c r="P567" s="149"/>
      <c r="Q567" s="149"/>
      <c r="R567" s="149"/>
      <c r="S567" s="149"/>
      <c r="T567" s="149"/>
      <c r="U567" s="149"/>
      <c r="V567" s="149"/>
      <c r="W567" s="4"/>
      <c r="X567" s="4"/>
      <c r="Y567" s="4"/>
      <c r="Z567" s="4"/>
      <c r="AA567" s="4"/>
    </row>
    <row r="568" spans="1:27" ht="16" thickBot="1">
      <c r="A568" s="159" t="s">
        <v>405</v>
      </c>
      <c r="B568" s="547">
        <f>IF(Inputs!$C$8="Yes",0,Inputs!F36)</f>
        <v>100000</v>
      </c>
      <c r="C568" s="158" t="s">
        <v>194</v>
      </c>
      <c r="D568" s="160"/>
      <c r="E568" s="161"/>
      <c r="F568" s="161"/>
      <c r="G568" s="161"/>
      <c r="H568" s="161"/>
      <c r="I568" s="161"/>
      <c r="J568" s="161"/>
      <c r="K568" s="161"/>
      <c r="L568" s="161"/>
      <c r="M568" s="161"/>
      <c r="N568" s="161"/>
      <c r="O568" s="161"/>
      <c r="P568" s="161"/>
      <c r="Q568" s="161"/>
      <c r="R568" s="161"/>
      <c r="S568" s="161"/>
      <c r="T568" s="161"/>
      <c r="U568" s="161"/>
      <c r="V568" s="161"/>
      <c r="W568" s="4"/>
      <c r="X568" s="4"/>
      <c r="Y568" s="4"/>
      <c r="Z568" s="4"/>
      <c r="AA568" s="4"/>
    </row>
    <row r="569" spans="1:27" ht="17" thickTop="1" thickBot="1">
      <c r="A569" s="209" t="s">
        <v>0</v>
      </c>
      <c r="B569" s="139" t="s">
        <v>51</v>
      </c>
      <c r="C569" s="165" t="s">
        <v>1</v>
      </c>
      <c r="D569" s="117" t="s">
        <v>2</v>
      </c>
      <c r="E569" s="117" t="s">
        <v>3</v>
      </c>
      <c r="F569" s="117" t="s">
        <v>4</v>
      </c>
      <c r="G569" s="117" t="s">
        <v>5</v>
      </c>
      <c r="H569" s="117" t="s">
        <v>6</v>
      </c>
      <c r="I569" s="117" t="s">
        <v>7</v>
      </c>
      <c r="J569" s="117" t="s">
        <v>8</v>
      </c>
      <c r="K569" s="117" t="s">
        <v>9</v>
      </c>
      <c r="L569" s="117" t="s">
        <v>10</v>
      </c>
      <c r="M569" s="117" t="s">
        <v>11</v>
      </c>
      <c r="N569" s="117" t="s">
        <v>12</v>
      </c>
      <c r="O569" s="117" t="s">
        <v>13</v>
      </c>
      <c r="P569" s="117" t="s">
        <v>14</v>
      </c>
      <c r="Q569" s="162" t="s">
        <v>15</v>
      </c>
      <c r="R569" s="139" t="s">
        <v>16</v>
      </c>
      <c r="S569" s="117" t="s">
        <v>17</v>
      </c>
      <c r="T569" s="117" t="s">
        <v>18</v>
      </c>
      <c r="U569" s="117" t="s">
        <v>19</v>
      </c>
      <c r="V569" s="221" t="s">
        <v>20</v>
      </c>
      <c r="W569" s="119" t="s">
        <v>93</v>
      </c>
      <c r="X569" s="120" t="s">
        <v>94</v>
      </c>
      <c r="Y569" s="120" t="s">
        <v>95</v>
      </c>
      <c r="Z569" s="120" t="s">
        <v>96</v>
      </c>
      <c r="AA569" s="222" t="s">
        <v>97</v>
      </c>
    </row>
    <row r="570" spans="1:27" ht="16">
      <c r="A570" s="167" t="s">
        <v>314</v>
      </c>
      <c r="B570" s="168">
        <f>B565*(1-Inputs!G36)</f>
        <v>77</v>
      </c>
      <c r="C570" s="169"/>
      <c r="D570" s="169"/>
      <c r="E570" s="169"/>
      <c r="F570" s="169"/>
      <c r="G570" s="169"/>
      <c r="H570" s="169"/>
      <c r="I570" s="169"/>
      <c r="J570" s="169"/>
      <c r="K570" s="169"/>
      <c r="L570" s="169"/>
      <c r="M570" s="169"/>
      <c r="N570" s="169"/>
      <c r="O570" s="169"/>
      <c r="P570" s="169"/>
      <c r="Q570" s="170"/>
      <c r="R570" s="171"/>
      <c r="S570" s="169"/>
      <c r="T570" s="169"/>
      <c r="U570" s="169"/>
      <c r="V570" s="223"/>
      <c r="W570" s="224"/>
      <c r="X570" s="169"/>
      <c r="Y570" s="169"/>
      <c r="Z570" s="169"/>
      <c r="AA570" s="173"/>
    </row>
    <row r="571" spans="1:27">
      <c r="A571" s="6" t="s">
        <v>270</v>
      </c>
      <c r="B571" s="139"/>
      <c r="C571" s="7"/>
      <c r="D571" s="7"/>
      <c r="E571" s="7"/>
      <c r="F571" s="7"/>
      <c r="G571" s="117"/>
      <c r="H571" s="7"/>
      <c r="I571" s="7"/>
      <c r="J571" s="7"/>
      <c r="K571" s="7"/>
      <c r="L571" s="117"/>
      <c r="M571" s="7"/>
      <c r="N571" s="7"/>
      <c r="O571" s="7"/>
      <c r="P571" s="7"/>
      <c r="Q571" s="270" t="s">
        <v>404</v>
      </c>
      <c r="R571" s="174"/>
      <c r="S571" s="7"/>
      <c r="T571" s="7"/>
      <c r="U571" s="7"/>
      <c r="V571" s="221"/>
      <c r="W571" s="16"/>
      <c r="X571" s="7"/>
      <c r="Y571" s="7"/>
      <c r="Z571" s="7"/>
      <c r="AA571" s="175"/>
    </row>
    <row r="572" spans="1:27" ht="16">
      <c r="A572" s="6" t="s">
        <v>38</v>
      </c>
      <c r="B572" s="139">
        <v>0</v>
      </c>
      <c r="C572" s="7"/>
      <c r="D572" s="7"/>
      <c r="E572" s="7"/>
      <c r="F572" s="7"/>
      <c r="G572" s="7"/>
      <c r="H572" s="7"/>
      <c r="I572" s="7"/>
      <c r="J572" s="7"/>
      <c r="K572" s="7"/>
      <c r="L572" s="7"/>
      <c r="M572" s="7"/>
      <c r="N572" s="7"/>
      <c r="O572" s="7"/>
      <c r="P572" s="7"/>
      <c r="Q572" s="653">
        <f>('Capital Cost Structure'!F87*B565)</f>
        <v>77</v>
      </c>
      <c r="R572" s="174"/>
      <c r="S572" s="7"/>
      <c r="T572" s="7"/>
      <c r="U572" s="7"/>
      <c r="V572" s="225"/>
      <c r="W572" s="16"/>
      <c r="X572" s="7"/>
      <c r="Y572" s="7"/>
      <c r="Z572" s="7"/>
      <c r="AA572" s="175"/>
    </row>
    <row r="573" spans="1:27">
      <c r="A573" s="6" t="s">
        <v>50</v>
      </c>
      <c r="B573" s="139">
        <f>B570</f>
        <v>77</v>
      </c>
      <c r="C573" s="177">
        <f>B573+C572-($B$570/$B$566)</f>
        <v>71.86666666666666</v>
      </c>
      <c r="D573" s="177">
        <f>C573+D572-($B$570/$B$566)</f>
        <v>66.73333333333332</v>
      </c>
      <c r="E573" s="177">
        <f t="shared" ref="E573:AA573" si="185">D573+E572-($B$570/$B$566)</f>
        <v>61.599999999999987</v>
      </c>
      <c r="F573" s="177">
        <f t="shared" si="185"/>
        <v>56.466666666666654</v>
      </c>
      <c r="G573" s="177">
        <f t="shared" si="185"/>
        <v>51.333333333333321</v>
      </c>
      <c r="H573" s="177">
        <f t="shared" si="185"/>
        <v>46.199999999999989</v>
      </c>
      <c r="I573" s="177">
        <f t="shared" si="185"/>
        <v>41.066666666666656</v>
      </c>
      <c r="J573" s="177">
        <f t="shared" si="185"/>
        <v>35.933333333333323</v>
      </c>
      <c r="K573" s="177">
        <f t="shared" si="185"/>
        <v>30.79999999999999</v>
      </c>
      <c r="L573" s="177">
        <f t="shared" si="185"/>
        <v>25.666666666666657</v>
      </c>
      <c r="M573" s="177">
        <f t="shared" si="185"/>
        <v>20.533333333333324</v>
      </c>
      <c r="N573" s="177">
        <f t="shared" si="185"/>
        <v>15.399999999999991</v>
      </c>
      <c r="O573" s="177">
        <f t="shared" si="185"/>
        <v>10.266666666666659</v>
      </c>
      <c r="P573" s="177">
        <f t="shared" si="185"/>
        <v>5.1333333333333249</v>
      </c>
      <c r="Q573" s="244">
        <f t="shared" si="185"/>
        <v>76.999999999999986</v>
      </c>
      <c r="R573" s="245">
        <f t="shared" si="185"/>
        <v>71.866666666666646</v>
      </c>
      <c r="S573" s="177">
        <f t="shared" si="185"/>
        <v>66.733333333333306</v>
      </c>
      <c r="T573" s="177">
        <f t="shared" si="185"/>
        <v>61.599999999999973</v>
      </c>
      <c r="U573" s="177">
        <f t="shared" si="185"/>
        <v>56.46666666666664</v>
      </c>
      <c r="V573" s="246">
        <f t="shared" si="185"/>
        <v>51.333333333333307</v>
      </c>
      <c r="W573" s="247">
        <f t="shared" si="185"/>
        <v>46.199999999999974</v>
      </c>
      <c r="X573" s="177">
        <f t="shared" si="185"/>
        <v>41.066666666666642</v>
      </c>
      <c r="Y573" s="177">
        <f t="shared" si="185"/>
        <v>35.933333333333309</v>
      </c>
      <c r="Z573" s="177">
        <f t="shared" si="185"/>
        <v>30.799999999999976</v>
      </c>
      <c r="AA573" s="178">
        <f t="shared" si="185"/>
        <v>25.666666666666643</v>
      </c>
    </row>
    <row r="574" spans="1:27" ht="16">
      <c r="A574" s="180" t="s">
        <v>22</v>
      </c>
      <c r="B574" s="181">
        <f>B570+B572+(B568/$B$4)</f>
        <v>177</v>
      </c>
      <c r="C574" s="181">
        <f>C570+C572</f>
        <v>0</v>
      </c>
      <c r="D574" s="181">
        <f>D570+D572</f>
        <v>0</v>
      </c>
      <c r="E574" s="181">
        <f t="shared" ref="E574:AA574" si="186">E570+E572</f>
        <v>0</v>
      </c>
      <c r="F574" s="181">
        <f t="shared" si="186"/>
        <v>0</v>
      </c>
      <c r="G574" s="181">
        <f>G570+G572</f>
        <v>0</v>
      </c>
      <c r="H574" s="181">
        <f t="shared" si="186"/>
        <v>0</v>
      </c>
      <c r="I574" s="181">
        <f t="shared" si="186"/>
        <v>0</v>
      </c>
      <c r="J574" s="181">
        <f t="shared" si="186"/>
        <v>0</v>
      </c>
      <c r="K574" s="181">
        <f t="shared" si="186"/>
        <v>0</v>
      </c>
      <c r="L574" s="181">
        <f t="shared" si="186"/>
        <v>0</v>
      </c>
      <c r="M574" s="181">
        <f t="shared" si="186"/>
        <v>0</v>
      </c>
      <c r="N574" s="181">
        <f t="shared" si="186"/>
        <v>0</v>
      </c>
      <c r="O574" s="181">
        <f>O570+O572</f>
        <v>0</v>
      </c>
      <c r="P574" s="181">
        <f t="shared" si="186"/>
        <v>0</v>
      </c>
      <c r="Q574" s="182">
        <f>Q570+Q572</f>
        <v>77</v>
      </c>
      <c r="R574" s="183">
        <f t="shared" si="186"/>
        <v>0</v>
      </c>
      <c r="S574" s="181">
        <f t="shared" si="186"/>
        <v>0</v>
      </c>
      <c r="T574" s="181">
        <f t="shared" si="186"/>
        <v>0</v>
      </c>
      <c r="U574" s="181">
        <f t="shared" si="186"/>
        <v>0</v>
      </c>
      <c r="V574" s="226">
        <f t="shared" si="186"/>
        <v>0</v>
      </c>
      <c r="W574" s="227">
        <f t="shared" si="186"/>
        <v>0</v>
      </c>
      <c r="X574" s="181">
        <f t="shared" si="186"/>
        <v>0</v>
      </c>
      <c r="Y574" s="181">
        <f t="shared" si="186"/>
        <v>0</v>
      </c>
      <c r="Z574" s="181">
        <f t="shared" si="186"/>
        <v>0</v>
      </c>
      <c r="AA574" s="182">
        <f t="shared" si="186"/>
        <v>0</v>
      </c>
    </row>
    <row r="575" spans="1:27" s="10" customFormat="1" ht="16" thickBot="1">
      <c r="A575" s="184" t="s">
        <v>87</v>
      </c>
      <c r="B575" s="185">
        <f>(B574*$B$4)</f>
        <v>177000</v>
      </c>
      <c r="C575" s="186">
        <f>C574*$B$4</f>
        <v>0</v>
      </c>
      <c r="D575" s="186">
        <f>D574*$B$4</f>
        <v>0</v>
      </c>
      <c r="E575" s="186">
        <f>E574*$B$4</f>
        <v>0</v>
      </c>
      <c r="F575" s="186">
        <f>F574*$B$4</f>
        <v>0</v>
      </c>
      <c r="G575" s="186">
        <f>G574*$B$4</f>
        <v>0</v>
      </c>
      <c r="H575" s="186">
        <f t="shared" ref="H575:P575" si="187">H574*$B$4</f>
        <v>0</v>
      </c>
      <c r="I575" s="186">
        <f t="shared" si="187"/>
        <v>0</v>
      </c>
      <c r="J575" s="186">
        <f t="shared" si="187"/>
        <v>0</v>
      </c>
      <c r="K575" s="186">
        <f t="shared" si="187"/>
        <v>0</v>
      </c>
      <c r="L575" s="186">
        <f t="shared" si="187"/>
        <v>0</v>
      </c>
      <c r="M575" s="186">
        <f t="shared" si="187"/>
        <v>0</v>
      </c>
      <c r="N575" s="186">
        <f t="shared" si="187"/>
        <v>0</v>
      </c>
      <c r="O575" s="186">
        <f t="shared" si="187"/>
        <v>0</v>
      </c>
      <c r="P575" s="186">
        <f t="shared" si="187"/>
        <v>0</v>
      </c>
      <c r="Q575" s="187">
        <f t="shared" ref="Q575:AA575" si="188">Q574*$B$4</f>
        <v>77000</v>
      </c>
      <c r="R575" s="185">
        <f t="shared" si="188"/>
        <v>0</v>
      </c>
      <c r="S575" s="186">
        <f t="shared" si="188"/>
        <v>0</v>
      </c>
      <c r="T575" s="186">
        <f t="shared" si="188"/>
        <v>0</v>
      </c>
      <c r="U575" s="186">
        <f t="shared" si="188"/>
        <v>0</v>
      </c>
      <c r="V575" s="228">
        <f t="shared" si="188"/>
        <v>0</v>
      </c>
      <c r="W575" s="229">
        <f t="shared" si="188"/>
        <v>0</v>
      </c>
      <c r="X575" s="186">
        <f t="shared" si="188"/>
        <v>0</v>
      </c>
      <c r="Y575" s="186">
        <f t="shared" si="188"/>
        <v>0</v>
      </c>
      <c r="Z575" s="186">
        <f t="shared" si="188"/>
        <v>0</v>
      </c>
      <c r="AA575" s="189">
        <f t="shared" si="188"/>
        <v>0</v>
      </c>
    </row>
    <row r="576" spans="1:27">
      <c r="A576" s="6"/>
      <c r="B576" s="139"/>
      <c r="C576" s="7"/>
      <c r="D576" s="7"/>
      <c r="E576" s="7"/>
      <c r="F576" s="7"/>
      <c r="G576" s="7"/>
      <c r="H576" s="7"/>
      <c r="I576" s="7"/>
      <c r="J576" s="7"/>
      <c r="K576" s="7"/>
      <c r="L576" s="7"/>
      <c r="M576" s="7"/>
      <c r="N576" s="7"/>
      <c r="O576" s="7"/>
      <c r="P576" s="7"/>
      <c r="Q576" s="104"/>
      <c r="R576" s="174"/>
      <c r="S576" s="7"/>
      <c r="T576" s="7"/>
      <c r="U576" s="7"/>
      <c r="V576" s="225"/>
      <c r="W576" s="16"/>
      <c r="X576" s="7"/>
      <c r="Y576" s="7"/>
      <c r="Z576" s="7"/>
      <c r="AA576" s="175"/>
    </row>
    <row r="577" spans="1:27">
      <c r="A577" s="209" t="s">
        <v>21</v>
      </c>
      <c r="B577" s="139">
        <v>0</v>
      </c>
      <c r="C577" s="17">
        <v>0.01</v>
      </c>
      <c r="D577" s="17">
        <f>C577+(0.01/($B$566-1))</f>
        <v>1.0714285714285714E-2</v>
      </c>
      <c r="E577" s="17">
        <f t="shared" ref="E577:AA577" si="189">D577+(0.01/($B$566-1))</f>
        <v>1.1428571428571429E-2</v>
      </c>
      <c r="F577" s="17">
        <f t="shared" si="189"/>
        <v>1.2142857142857143E-2</v>
      </c>
      <c r="G577" s="17">
        <f t="shared" si="189"/>
        <v>1.2857142857142857E-2</v>
      </c>
      <c r="H577" s="17">
        <f t="shared" si="189"/>
        <v>1.3571428571428571E-2</v>
      </c>
      <c r="I577" s="17">
        <f t="shared" si="189"/>
        <v>1.4285714285714285E-2</v>
      </c>
      <c r="J577" s="17">
        <f t="shared" si="189"/>
        <v>1.4999999999999999E-2</v>
      </c>
      <c r="K577" s="17">
        <f t="shared" si="189"/>
        <v>1.5714285714285715E-2</v>
      </c>
      <c r="L577" s="17">
        <f t="shared" si="189"/>
        <v>1.6428571428571431E-2</v>
      </c>
      <c r="M577" s="17">
        <f t="shared" si="189"/>
        <v>1.7142857142857147E-2</v>
      </c>
      <c r="N577" s="17">
        <f>M577+(0.01/($B$566-1))</f>
        <v>1.7857142857142863E-2</v>
      </c>
      <c r="O577" s="17">
        <f t="shared" si="189"/>
        <v>1.8571428571428579E-2</v>
      </c>
      <c r="P577" s="17">
        <f t="shared" si="189"/>
        <v>1.9285714285714295E-2</v>
      </c>
      <c r="Q577" s="190">
        <f t="shared" si="189"/>
        <v>2.0000000000000011E-2</v>
      </c>
      <c r="R577" s="17">
        <v>0.01</v>
      </c>
      <c r="S577" s="17">
        <f>R577+(0.01/($B$566-1))</f>
        <v>1.0714285714285714E-2</v>
      </c>
      <c r="T577" s="17">
        <f t="shared" si="189"/>
        <v>1.1428571428571429E-2</v>
      </c>
      <c r="U577" s="17">
        <f t="shared" si="189"/>
        <v>1.2142857142857143E-2</v>
      </c>
      <c r="V577" s="230">
        <f t="shared" si="189"/>
        <v>1.2857142857142857E-2</v>
      </c>
      <c r="W577" s="231">
        <f t="shared" si="189"/>
        <v>1.3571428571428571E-2</v>
      </c>
      <c r="X577" s="17">
        <f t="shared" si="189"/>
        <v>1.4285714285714285E-2</v>
      </c>
      <c r="Y577" s="17">
        <f t="shared" si="189"/>
        <v>1.4999999999999999E-2</v>
      </c>
      <c r="Z577" s="17">
        <f t="shared" si="189"/>
        <v>1.5714285714285715E-2</v>
      </c>
      <c r="AA577" s="193">
        <f t="shared" si="189"/>
        <v>1.6428571428571431E-2</v>
      </c>
    </row>
    <row r="578" spans="1:27" ht="16">
      <c r="A578" s="180" t="s">
        <v>23</v>
      </c>
      <c r="B578" s="194">
        <f>B577*$B$565</f>
        <v>0</v>
      </c>
      <c r="C578" s="194">
        <f>C577*$B$565</f>
        <v>0.77</v>
      </c>
      <c r="D578" s="194">
        <f t="shared" ref="D578:AA578" si="190">D577*$B$565</f>
        <v>0.82499999999999996</v>
      </c>
      <c r="E578" s="194">
        <f>E577*$B$565</f>
        <v>0.88</v>
      </c>
      <c r="F578" s="194">
        <f>F577*$B$565</f>
        <v>0.93499999999999994</v>
      </c>
      <c r="G578" s="194">
        <f>G577*$B$565</f>
        <v>0.99</v>
      </c>
      <c r="H578" s="194">
        <f t="shared" si="190"/>
        <v>1.0449999999999999</v>
      </c>
      <c r="I578" s="194">
        <f t="shared" si="190"/>
        <v>1.0999999999999999</v>
      </c>
      <c r="J578" s="194">
        <f t="shared" si="190"/>
        <v>1.155</v>
      </c>
      <c r="K578" s="194">
        <f t="shared" si="190"/>
        <v>1.2100000000000002</v>
      </c>
      <c r="L578" s="194">
        <f t="shared" si="190"/>
        <v>1.2650000000000001</v>
      </c>
      <c r="M578" s="194">
        <f t="shared" si="190"/>
        <v>1.3200000000000003</v>
      </c>
      <c r="N578" s="194">
        <f t="shared" si="190"/>
        <v>1.3750000000000004</v>
      </c>
      <c r="O578" s="194">
        <f t="shared" si="190"/>
        <v>1.4300000000000006</v>
      </c>
      <c r="P578" s="194">
        <f t="shared" si="190"/>
        <v>1.4850000000000008</v>
      </c>
      <c r="Q578" s="194">
        <f t="shared" si="190"/>
        <v>1.5400000000000009</v>
      </c>
      <c r="R578" s="194">
        <f t="shared" si="190"/>
        <v>0.77</v>
      </c>
      <c r="S578" s="194">
        <f t="shared" si="190"/>
        <v>0.82499999999999996</v>
      </c>
      <c r="T578" s="194">
        <f t="shared" si="190"/>
        <v>0.88</v>
      </c>
      <c r="U578" s="194">
        <f t="shared" si="190"/>
        <v>0.93499999999999994</v>
      </c>
      <c r="V578" s="194">
        <f t="shared" si="190"/>
        <v>0.99</v>
      </c>
      <c r="W578" s="194">
        <f t="shared" si="190"/>
        <v>1.0449999999999999</v>
      </c>
      <c r="X578" s="194">
        <f t="shared" si="190"/>
        <v>1.0999999999999999</v>
      </c>
      <c r="Y578" s="194">
        <f t="shared" si="190"/>
        <v>1.155</v>
      </c>
      <c r="Z578" s="194">
        <f t="shared" si="190"/>
        <v>1.2100000000000002</v>
      </c>
      <c r="AA578" s="194">
        <f t="shared" si="190"/>
        <v>1.2650000000000001</v>
      </c>
    </row>
    <row r="579" spans="1:27" ht="16" thickBot="1">
      <c r="A579" s="197" t="s">
        <v>88</v>
      </c>
      <c r="B579" s="279">
        <f t="shared" ref="B579:G579" si="191">B578*$B$4</f>
        <v>0</v>
      </c>
      <c r="C579" s="282">
        <f t="shared" si="191"/>
        <v>770</v>
      </c>
      <c r="D579" s="282">
        <f t="shared" si="191"/>
        <v>825</v>
      </c>
      <c r="E579" s="282">
        <f t="shared" si="191"/>
        <v>880</v>
      </c>
      <c r="F579" s="282">
        <f t="shared" si="191"/>
        <v>934.99999999999989</v>
      </c>
      <c r="G579" s="282">
        <f t="shared" si="191"/>
        <v>990</v>
      </c>
      <c r="H579" s="282">
        <f t="shared" ref="H579:V579" si="192">H578*$B$4</f>
        <v>1045</v>
      </c>
      <c r="I579" s="282">
        <f t="shared" si="192"/>
        <v>1099.9999999999998</v>
      </c>
      <c r="J579" s="282">
        <f t="shared" si="192"/>
        <v>1155</v>
      </c>
      <c r="K579" s="282">
        <f t="shared" si="192"/>
        <v>1210.0000000000002</v>
      </c>
      <c r="L579" s="282">
        <f t="shared" si="192"/>
        <v>1265.0000000000002</v>
      </c>
      <c r="M579" s="282">
        <f t="shared" si="192"/>
        <v>1320.0000000000002</v>
      </c>
      <c r="N579" s="282">
        <f t="shared" si="192"/>
        <v>1375.0000000000005</v>
      </c>
      <c r="O579" s="282">
        <f t="shared" si="192"/>
        <v>1430.0000000000007</v>
      </c>
      <c r="P579" s="282">
        <f t="shared" si="192"/>
        <v>1485.0000000000007</v>
      </c>
      <c r="Q579" s="283">
        <f t="shared" si="192"/>
        <v>1540.0000000000009</v>
      </c>
      <c r="R579" s="284">
        <f>R578*$B$4</f>
        <v>770</v>
      </c>
      <c r="S579" s="282">
        <f t="shared" si="192"/>
        <v>825</v>
      </c>
      <c r="T579" s="282">
        <f t="shared" si="192"/>
        <v>880</v>
      </c>
      <c r="U579" s="282">
        <f t="shared" si="192"/>
        <v>934.99999999999989</v>
      </c>
      <c r="V579" s="285">
        <f t="shared" si="192"/>
        <v>990</v>
      </c>
      <c r="W579" s="286">
        <f>W578*$B$4</f>
        <v>1045</v>
      </c>
      <c r="X579" s="282">
        <f>X578*$B$4</f>
        <v>1099.9999999999998</v>
      </c>
      <c r="Y579" s="282">
        <f>Y578*$B$4</f>
        <v>1155</v>
      </c>
      <c r="Z579" s="282">
        <f>Z578*$B$4</f>
        <v>1210.0000000000002</v>
      </c>
      <c r="AA579" s="287">
        <f>AA578*$B$4</f>
        <v>1265.0000000000002</v>
      </c>
    </row>
    <row r="580" spans="1:27">
      <c r="A580" s="199"/>
      <c r="B580" s="174"/>
      <c r="C580" s="7"/>
      <c r="D580" s="7"/>
      <c r="E580" s="7"/>
      <c r="F580" s="7"/>
      <c r="G580" s="7"/>
      <c r="H580" s="7"/>
      <c r="I580" s="7"/>
      <c r="J580" s="7"/>
      <c r="K580" s="7"/>
      <c r="L580" s="7"/>
      <c r="M580" s="7"/>
      <c r="N580" s="7"/>
      <c r="O580" s="7"/>
      <c r="P580" s="7"/>
      <c r="Q580" s="104"/>
      <c r="R580" s="174"/>
      <c r="S580" s="7"/>
      <c r="T580" s="7"/>
      <c r="U580" s="7"/>
      <c r="V580" s="225"/>
      <c r="W580" s="16"/>
      <c r="X580" s="7"/>
      <c r="Y580" s="7"/>
      <c r="Z580" s="7"/>
      <c r="AA580" s="175"/>
    </row>
    <row r="581" spans="1:27">
      <c r="A581" s="6" t="s">
        <v>25</v>
      </c>
      <c r="B581" s="139">
        <v>0</v>
      </c>
      <c r="C581" s="17">
        <f>B559</f>
        <v>0.18239999999999998</v>
      </c>
      <c r="D581" s="17">
        <f>C581+C582</f>
        <v>0.18342143999999999</v>
      </c>
      <c r="E581" s="17">
        <f t="shared" ref="E581:AA581" si="193">D581+D582</f>
        <v>0.18444860006399999</v>
      </c>
      <c r="F581" s="17">
        <f t="shared" si="193"/>
        <v>0.18548151222435838</v>
      </c>
      <c r="G581" s="17">
        <f t="shared" si="193"/>
        <v>0.1865202086928148</v>
      </c>
      <c r="H581" s="17">
        <f t="shared" si="193"/>
        <v>0.18756472186149456</v>
      </c>
      <c r="I581" s="17">
        <f t="shared" si="193"/>
        <v>0.18861508430391893</v>
      </c>
      <c r="J581" s="17">
        <f t="shared" si="193"/>
        <v>0.18967132877602089</v>
      </c>
      <c r="K581" s="17">
        <f t="shared" si="193"/>
        <v>0.1907334882171666</v>
      </c>
      <c r="L581" s="17">
        <f t="shared" si="193"/>
        <v>0.19180159575118272</v>
      </c>
      <c r="M581" s="17">
        <f t="shared" si="193"/>
        <v>0.19287568468738933</v>
      </c>
      <c r="N581" s="17">
        <f>M581+M582</f>
        <v>0.19395578852163872</v>
      </c>
      <c r="O581" s="17">
        <f t="shared" si="193"/>
        <v>0.19504194093735991</v>
      </c>
      <c r="P581" s="17">
        <f t="shared" si="193"/>
        <v>0.19613417580660913</v>
      </c>
      <c r="Q581" s="190">
        <f t="shared" si="193"/>
        <v>0.19723252719112613</v>
      </c>
      <c r="R581" s="191">
        <f t="shared" si="193"/>
        <v>0.19833702934339645</v>
      </c>
      <c r="S581" s="17">
        <f t="shared" si="193"/>
        <v>0.19944771670771946</v>
      </c>
      <c r="T581" s="17">
        <f t="shared" si="193"/>
        <v>0.20056462392128269</v>
      </c>
      <c r="U581" s="17">
        <f t="shared" si="193"/>
        <v>0.20168778581524188</v>
      </c>
      <c r="V581" s="230">
        <f t="shared" si="193"/>
        <v>0.20281723741580723</v>
      </c>
      <c r="W581" s="231">
        <f t="shared" si="193"/>
        <v>0.20395301394533574</v>
      </c>
      <c r="X581" s="17">
        <f t="shared" si="193"/>
        <v>0.20509515082342963</v>
      </c>
      <c r="Y581" s="17">
        <f t="shared" si="193"/>
        <v>0.20624368366804083</v>
      </c>
      <c r="Z581" s="17">
        <f t="shared" si="193"/>
        <v>0.20739864829658186</v>
      </c>
      <c r="AA581" s="193">
        <f t="shared" si="193"/>
        <v>0.20856008072704271</v>
      </c>
    </row>
    <row r="582" spans="1:27">
      <c r="A582" s="6" t="s">
        <v>248</v>
      </c>
      <c r="B582" s="139"/>
      <c r="C582" s="17">
        <f>C581*$B$560</f>
        <v>1.02144E-3</v>
      </c>
      <c r="D582" s="17">
        <f>D581*$B$560</f>
        <v>1.027160064E-3</v>
      </c>
      <c r="E582" s="17">
        <f>E581*$B$560</f>
        <v>1.0329121603583999E-3</v>
      </c>
      <c r="F582" s="17">
        <f t="shared" ref="F582:AA582" si="194">F581*$B$560</f>
        <v>1.0386964684564069E-3</v>
      </c>
      <c r="G582" s="17">
        <f t="shared" si="194"/>
        <v>1.0445131686797628E-3</v>
      </c>
      <c r="H582" s="17">
        <f t="shared" si="194"/>
        <v>1.0503624424243695E-3</v>
      </c>
      <c r="I582" s="17">
        <f t="shared" si="194"/>
        <v>1.0562444721019461E-3</v>
      </c>
      <c r="J582" s="17">
        <f t="shared" si="194"/>
        <v>1.062159441145717E-3</v>
      </c>
      <c r="K582" s="17">
        <f t="shared" si="194"/>
        <v>1.068107534016133E-3</v>
      </c>
      <c r="L582" s="17">
        <f t="shared" si="194"/>
        <v>1.0740889362066232E-3</v>
      </c>
      <c r="M582" s="17">
        <f t="shared" si="194"/>
        <v>1.0801038342493803E-3</v>
      </c>
      <c r="N582" s="17">
        <f t="shared" si="194"/>
        <v>1.0861524157211768E-3</v>
      </c>
      <c r="O582" s="17">
        <f t="shared" si="194"/>
        <v>1.0922348692492154E-3</v>
      </c>
      <c r="P582" s="17">
        <f t="shared" si="194"/>
        <v>1.0983513845170111E-3</v>
      </c>
      <c r="Q582" s="190">
        <f t="shared" si="194"/>
        <v>1.1045021522703064E-3</v>
      </c>
      <c r="R582" s="191">
        <f t="shared" si="194"/>
        <v>1.1106873643230201E-3</v>
      </c>
      <c r="S582" s="17">
        <f t="shared" si="194"/>
        <v>1.116907213563229E-3</v>
      </c>
      <c r="T582" s="17">
        <f t="shared" si="194"/>
        <v>1.1231618939591831E-3</v>
      </c>
      <c r="U582" s="17">
        <f t="shared" si="194"/>
        <v>1.1294516005653545E-3</v>
      </c>
      <c r="V582" s="230">
        <f t="shared" si="194"/>
        <v>1.1357765295285204E-3</v>
      </c>
      <c r="W582" s="231">
        <f t="shared" si="194"/>
        <v>1.1421368780938801E-3</v>
      </c>
      <c r="X582" s="17">
        <f t="shared" si="194"/>
        <v>1.1485328446112059E-3</v>
      </c>
      <c r="Y582" s="17">
        <f t="shared" si="194"/>
        <v>1.1549646285410285E-3</v>
      </c>
      <c r="Z582" s="17">
        <f t="shared" si="194"/>
        <v>1.1614324304608584E-3</v>
      </c>
      <c r="AA582" s="193">
        <f t="shared" si="194"/>
        <v>1.1679364520714392E-3</v>
      </c>
    </row>
    <row r="583" spans="1:27" ht="16">
      <c r="A583" s="180" t="s">
        <v>24</v>
      </c>
      <c r="B583" s="194">
        <f>B581*$B$561*(1/$B$564)</f>
        <v>0</v>
      </c>
      <c r="C583" s="194">
        <f>C581*$B$561*(1/$B$564)</f>
        <v>2.3535483870967737</v>
      </c>
      <c r="D583" s="200">
        <f>D581*$B$561*(1/$B$564)</f>
        <v>2.3667282580645157</v>
      </c>
      <c r="E583" s="194">
        <f t="shared" ref="E583:AA583" si="195">E581*$B$561*(1/$B$564)</f>
        <v>2.3799819363096772</v>
      </c>
      <c r="F583" s="194">
        <f t="shared" si="195"/>
        <v>2.3933098351530111</v>
      </c>
      <c r="G583" s="194">
        <f t="shared" si="195"/>
        <v>2.4067123702298683</v>
      </c>
      <c r="H583" s="194">
        <f t="shared" si="195"/>
        <v>2.4201899595031557</v>
      </c>
      <c r="I583" s="194">
        <f t="shared" si="195"/>
        <v>2.433743023276373</v>
      </c>
      <c r="J583" s="194">
        <f t="shared" si="195"/>
        <v>2.447371984206721</v>
      </c>
      <c r="K583" s="194">
        <f t="shared" si="195"/>
        <v>2.4610772673182786</v>
      </c>
      <c r="L583" s="194">
        <f t="shared" si="195"/>
        <v>2.4748593000152606</v>
      </c>
      <c r="M583" s="194">
        <f t="shared" si="195"/>
        <v>2.4887185120953461</v>
      </c>
      <c r="N583" s="194">
        <f t="shared" si="195"/>
        <v>2.5026553357630799</v>
      </c>
      <c r="O583" s="194">
        <f t="shared" si="195"/>
        <v>2.5166702056433534</v>
      </c>
      <c r="P583" s="194">
        <f t="shared" si="195"/>
        <v>2.5307635587949568</v>
      </c>
      <c r="Q583" s="195">
        <f t="shared" si="195"/>
        <v>2.5449358347242077</v>
      </c>
      <c r="R583" s="196">
        <f t="shared" si="195"/>
        <v>2.5591874753986636</v>
      </c>
      <c r="S583" s="194">
        <f t="shared" si="195"/>
        <v>2.5735189252608963</v>
      </c>
      <c r="T583" s="194">
        <f t="shared" si="195"/>
        <v>2.5879306312423571</v>
      </c>
      <c r="U583" s="194">
        <f t="shared" si="195"/>
        <v>2.6024230427773141</v>
      </c>
      <c r="V583" s="232">
        <f t="shared" si="195"/>
        <v>2.6169966118168673</v>
      </c>
      <c r="W583" s="233">
        <f t="shared" si="195"/>
        <v>2.6316517928430416</v>
      </c>
      <c r="X583" s="194">
        <f t="shared" si="195"/>
        <v>2.6463890428829626</v>
      </c>
      <c r="Y583" s="194">
        <f t="shared" si="195"/>
        <v>2.6612088215231076</v>
      </c>
      <c r="Z583" s="194">
        <f t="shared" si="195"/>
        <v>2.6761115909236368</v>
      </c>
      <c r="AA583" s="195">
        <f t="shared" si="195"/>
        <v>2.6910978158328089</v>
      </c>
    </row>
    <row r="584" spans="1:27" ht="16" thickBot="1">
      <c r="A584" s="197" t="s">
        <v>89</v>
      </c>
      <c r="B584" s="288">
        <f t="shared" ref="B584:K584" si="196">B583*$B$4</f>
        <v>0</v>
      </c>
      <c r="C584" s="277">
        <f t="shared" si="196"/>
        <v>2353.5483870967737</v>
      </c>
      <c r="D584" s="277">
        <f t="shared" si="196"/>
        <v>2366.7282580645156</v>
      </c>
      <c r="E584" s="277">
        <f t="shared" si="196"/>
        <v>2379.9819363096772</v>
      </c>
      <c r="F584" s="277">
        <f t="shared" si="196"/>
        <v>2393.3098351530111</v>
      </c>
      <c r="G584" s="277">
        <f t="shared" si="196"/>
        <v>2406.7123702298682</v>
      </c>
      <c r="H584" s="277">
        <f t="shared" si="196"/>
        <v>2420.1899595031559</v>
      </c>
      <c r="I584" s="277">
        <f t="shared" si="196"/>
        <v>2433.7430232763732</v>
      </c>
      <c r="J584" s="277">
        <f t="shared" si="196"/>
        <v>2447.3719842067208</v>
      </c>
      <c r="K584" s="277">
        <f t="shared" si="196"/>
        <v>2461.0772673182787</v>
      </c>
      <c r="L584" s="277">
        <f t="shared" ref="L584:V584" si="197">L583*$B$4</f>
        <v>2474.8593000152605</v>
      </c>
      <c r="M584" s="277">
        <f t="shared" si="197"/>
        <v>2488.7185120953463</v>
      </c>
      <c r="N584" s="277">
        <f t="shared" si="197"/>
        <v>2502.6553357630801</v>
      </c>
      <c r="O584" s="277">
        <f t="shared" si="197"/>
        <v>2516.6702056433533</v>
      </c>
      <c r="P584" s="277">
        <f t="shared" si="197"/>
        <v>2530.7635587949567</v>
      </c>
      <c r="Q584" s="278">
        <f t="shared" si="197"/>
        <v>2544.9358347242078</v>
      </c>
      <c r="R584" s="279">
        <f t="shared" si="197"/>
        <v>2559.1874753986635</v>
      </c>
      <c r="S584" s="277">
        <f t="shared" si="197"/>
        <v>2573.5189252608961</v>
      </c>
      <c r="T584" s="277">
        <f t="shared" si="197"/>
        <v>2587.9306312423573</v>
      </c>
      <c r="U584" s="277">
        <f t="shared" si="197"/>
        <v>2602.4230427773141</v>
      </c>
      <c r="V584" s="289">
        <f t="shared" si="197"/>
        <v>2616.9966118168672</v>
      </c>
      <c r="W584" s="290">
        <f>W583*$B$4</f>
        <v>2631.6517928430417</v>
      </c>
      <c r="X584" s="277">
        <f>X583*$B$4</f>
        <v>2646.3890428829627</v>
      </c>
      <c r="Y584" s="277">
        <f>Y583*$B$4</f>
        <v>2661.2088215231074</v>
      </c>
      <c r="Z584" s="277">
        <f>Z583*$B$4</f>
        <v>2676.1115909236369</v>
      </c>
      <c r="AA584" s="281">
        <f>AA583*$B$4</f>
        <v>2691.0978158328089</v>
      </c>
    </row>
    <row r="585" spans="1:27">
      <c r="A585" s="6"/>
      <c r="B585" s="139"/>
      <c r="C585" s="7"/>
      <c r="D585" s="7"/>
      <c r="E585" s="7"/>
      <c r="F585" s="7"/>
      <c r="G585" s="7"/>
      <c r="H585" s="7"/>
      <c r="I585" s="7"/>
      <c r="J585" s="7"/>
      <c r="K585" s="7"/>
      <c r="L585" s="7"/>
      <c r="M585" s="7"/>
      <c r="N585" s="7"/>
      <c r="O585" s="7"/>
      <c r="P585" s="7"/>
      <c r="Q585" s="104"/>
      <c r="R585" s="174"/>
      <c r="S585" s="7"/>
      <c r="T585" s="7"/>
      <c r="U585" s="7"/>
      <c r="V585" s="225"/>
      <c r="W585" s="16"/>
      <c r="X585" s="7"/>
      <c r="Y585" s="7"/>
      <c r="Z585" s="7"/>
      <c r="AA585" s="175"/>
    </row>
    <row r="586" spans="1:27" ht="16">
      <c r="A586" s="6" t="s">
        <v>34</v>
      </c>
      <c r="B586" s="118">
        <f>B574+B578+B583</f>
        <v>177</v>
      </c>
      <c r="C586" s="118">
        <f>C574+C578+C583</f>
        <v>3.1235483870967737</v>
      </c>
      <c r="D586" s="118">
        <f>D574+D578+D583</f>
        <v>3.1917282580645159</v>
      </c>
      <c r="E586" s="118">
        <f>E574+E578+E583</f>
        <v>3.2599819363096771</v>
      </c>
      <c r="F586" s="118">
        <f>F574+F578+F583</f>
        <v>3.3283098351530112</v>
      </c>
      <c r="G586" s="118">
        <f t="shared" ref="G586:V586" si="198">G574+G578+G583</f>
        <v>3.396712370229868</v>
      </c>
      <c r="H586" s="118">
        <f t="shared" si="198"/>
        <v>3.4651899595031557</v>
      </c>
      <c r="I586" s="118">
        <f t="shared" si="198"/>
        <v>3.5337430232763731</v>
      </c>
      <c r="J586" s="118">
        <f t="shared" si="198"/>
        <v>3.6023719842067212</v>
      </c>
      <c r="K586" s="118">
        <f t="shared" si="198"/>
        <v>3.671077267318279</v>
      </c>
      <c r="L586" s="118">
        <f>L574+L578+L583</f>
        <v>3.7398593000152607</v>
      </c>
      <c r="M586" s="118">
        <f t="shared" si="198"/>
        <v>3.8087185120953464</v>
      </c>
      <c r="N586" s="118">
        <f t="shared" si="198"/>
        <v>3.8776553357630803</v>
      </c>
      <c r="O586" s="118">
        <f t="shared" si="198"/>
        <v>3.946670205643354</v>
      </c>
      <c r="P586" s="118">
        <f t="shared" si="198"/>
        <v>4.0157635587949576</v>
      </c>
      <c r="Q586" s="202">
        <f t="shared" si="198"/>
        <v>81.08493583472422</v>
      </c>
      <c r="R586" s="136">
        <f t="shared" si="198"/>
        <v>3.3291874753986637</v>
      </c>
      <c r="S586" s="118">
        <f t="shared" si="198"/>
        <v>3.3985189252608965</v>
      </c>
      <c r="T586" s="118">
        <f t="shared" si="198"/>
        <v>3.467930631242357</v>
      </c>
      <c r="U586" s="118">
        <f t="shared" si="198"/>
        <v>3.5374230427773141</v>
      </c>
      <c r="V586" s="234">
        <f t="shared" si="198"/>
        <v>3.606996611816867</v>
      </c>
      <c r="W586" s="235">
        <f>W574+W578+W583</f>
        <v>3.6766517928430416</v>
      </c>
      <c r="X586" s="118">
        <f>X574+X578+X583</f>
        <v>3.7463890428829627</v>
      </c>
      <c r="Y586" s="118">
        <f>Y574+Y578+Y583</f>
        <v>3.8162088215231078</v>
      </c>
      <c r="Z586" s="118">
        <f>Z574+Z578+Z583</f>
        <v>3.8861115909236368</v>
      </c>
      <c r="AA586" s="204">
        <f>AA574+AA578+AA583</f>
        <v>3.9560978158328091</v>
      </c>
    </row>
    <row r="587" spans="1:27" ht="16" thickBot="1">
      <c r="A587" s="135" t="s">
        <v>35</v>
      </c>
      <c r="B587" s="243">
        <f>($B$4*B586)</f>
        <v>177000</v>
      </c>
      <c r="C587" s="243">
        <f>$B$4*C586</f>
        <v>3123.5483870967737</v>
      </c>
      <c r="D587" s="243">
        <f>$B$4*D586</f>
        <v>3191.728258064516</v>
      </c>
      <c r="E587" s="243">
        <f>$B$4*E586</f>
        <v>3259.9819363096772</v>
      </c>
      <c r="F587" s="243">
        <f t="shared" ref="F587:V587" si="199">$B$4*F586</f>
        <v>3328.3098351530111</v>
      </c>
      <c r="G587" s="243">
        <f t="shared" si="199"/>
        <v>3396.7123702298682</v>
      </c>
      <c r="H587" s="243">
        <f t="shared" si="199"/>
        <v>3465.1899595031555</v>
      </c>
      <c r="I587" s="243">
        <f t="shared" si="199"/>
        <v>3533.7430232763732</v>
      </c>
      <c r="J587" s="243">
        <f t="shared" si="199"/>
        <v>3602.3719842067212</v>
      </c>
      <c r="K587" s="243">
        <f t="shared" si="199"/>
        <v>3671.0772673182792</v>
      </c>
      <c r="L587" s="243">
        <f>$B$4*L586</f>
        <v>3739.8593000152605</v>
      </c>
      <c r="M587" s="243">
        <f t="shared" si="199"/>
        <v>3808.7185120953463</v>
      </c>
      <c r="N587" s="243">
        <f t="shared" si="199"/>
        <v>3877.6553357630801</v>
      </c>
      <c r="O587" s="243">
        <f t="shared" si="199"/>
        <v>3946.6702056433542</v>
      </c>
      <c r="P587" s="243">
        <f t="shared" si="199"/>
        <v>4015.7635587949576</v>
      </c>
      <c r="Q587" s="250">
        <f t="shared" si="199"/>
        <v>81084.935834724223</v>
      </c>
      <c r="R587" s="251">
        <f t="shared" si="199"/>
        <v>3329.1874753986635</v>
      </c>
      <c r="S587" s="243">
        <f t="shared" si="199"/>
        <v>3398.5189252608966</v>
      </c>
      <c r="T587" s="243">
        <f t="shared" si="199"/>
        <v>3467.9306312423569</v>
      </c>
      <c r="U587" s="243">
        <f t="shared" si="199"/>
        <v>3537.4230427773141</v>
      </c>
      <c r="V587" s="252">
        <f t="shared" si="199"/>
        <v>3606.9966118168672</v>
      </c>
      <c r="W587" s="253">
        <f>$B$4*W586</f>
        <v>3676.6517928430417</v>
      </c>
      <c r="X587" s="243">
        <f>$B$4*X586</f>
        <v>3746.3890428829627</v>
      </c>
      <c r="Y587" s="243">
        <f>$B$4*Y586</f>
        <v>3816.2088215231079</v>
      </c>
      <c r="Z587" s="243">
        <f>$B$4*Z586</f>
        <v>3886.1115909236369</v>
      </c>
      <c r="AA587" s="32">
        <f>$B$4*AA586</f>
        <v>3956.0978158328089</v>
      </c>
    </row>
    <row r="588" spans="1:27" ht="17" thickTop="1" thickBot="1">
      <c r="A588" s="236"/>
      <c r="B588" s="28" t="s">
        <v>98</v>
      </c>
      <c r="C588" s="29" t="s">
        <v>91</v>
      </c>
      <c r="D588" s="30" t="s">
        <v>92</v>
      </c>
      <c r="E588"/>
      <c r="F588"/>
      <c r="G588"/>
      <c r="H588"/>
      <c r="I588"/>
      <c r="J588"/>
      <c r="K588" s="205"/>
      <c r="L588" s="205"/>
      <c r="M588" s="205"/>
      <c r="N588" s="205"/>
      <c r="O588" s="205"/>
      <c r="P588" s="205"/>
      <c r="Q588" s="205"/>
      <c r="R588" s="205"/>
      <c r="S588" s="205"/>
      <c r="T588" s="205"/>
      <c r="U588" s="205"/>
      <c r="V588" s="205"/>
      <c r="W588" s="4"/>
      <c r="X588" s="4"/>
      <c r="Y588" s="4"/>
      <c r="Z588" s="4"/>
      <c r="AA588" s="4"/>
    </row>
    <row r="589" spans="1:27" ht="16">
      <c r="A589" s="209" t="s">
        <v>36</v>
      </c>
      <c r="B589" s="206">
        <f>NPV($B$5,C586,D586:Q586)+B586-(Q573/((1+B567)^15))</f>
        <v>213.75550846266586</v>
      </c>
      <c r="C589" s="207">
        <f>NPV($B$5,C586,D586:V586)+B586-(V573/((1+B567)^20))</f>
        <v>238.65504756578827</v>
      </c>
      <c r="D589" s="31">
        <f>NPV($B$5,C586,D586:AA586)+B586-(AA573/((1+B567)^25))</f>
        <v>256.63866515232297</v>
      </c>
      <c r="E589"/>
      <c r="F589"/>
      <c r="G589"/>
      <c r="H589"/>
      <c r="I589"/>
      <c r="J589"/>
      <c r="K589" s="5"/>
      <c r="L589" s="5"/>
      <c r="M589" s="5"/>
      <c r="N589" s="5"/>
      <c r="O589" s="5"/>
      <c r="P589" s="5"/>
      <c r="Q589" s="5"/>
      <c r="R589" s="5"/>
      <c r="S589" s="5"/>
      <c r="T589" s="5"/>
      <c r="U589" s="5"/>
      <c r="V589" s="5"/>
      <c r="W589" s="5"/>
      <c r="X589" s="4"/>
      <c r="Y589" s="4"/>
      <c r="Z589" s="4"/>
      <c r="AA589" s="4"/>
    </row>
    <row r="590" spans="1:27">
      <c r="A590" s="209" t="s">
        <v>37</v>
      </c>
      <c r="B590" s="210">
        <f>(NPV(B567,C587,D587:Q587))+B587-(Q573*$B$4/(1+B567)^15)</f>
        <v>213755.50846266586</v>
      </c>
      <c r="C590" s="211">
        <f>(NPV(B567,C587,D587:V587))+B587-(V573*$B$4/(1+B567)^20)</f>
        <v>238655.04756578823</v>
      </c>
      <c r="D590" s="212">
        <f>(NPV(B567,C587,D587:AA587))+B587-(AA573*$B$4/(1+B567)^25)</f>
        <v>256638.66515232297</v>
      </c>
      <c r="E590"/>
      <c r="F590"/>
      <c r="G590"/>
      <c r="H590"/>
      <c r="I590"/>
      <c r="J590"/>
      <c r="K590" s="23"/>
      <c r="L590" s="23"/>
      <c r="M590" s="23"/>
      <c r="N590" s="23"/>
      <c r="O590" s="23"/>
      <c r="P590" s="23"/>
      <c r="Q590" s="23"/>
      <c r="R590" s="23"/>
      <c r="S590" s="23"/>
      <c r="T590" s="23"/>
      <c r="U590" s="23"/>
      <c r="V590" s="23"/>
      <c r="W590" s="23"/>
      <c r="X590" s="3"/>
      <c r="Y590" s="4"/>
      <c r="Z590" s="4"/>
      <c r="AA590" s="4"/>
    </row>
    <row r="591" spans="1:27">
      <c r="A591" s="209" t="s">
        <v>85</v>
      </c>
      <c r="B591" s="210">
        <f>NPV(B567,C575,D575:Q575)+B575-(Q573*$B$4/(1+B567)^15)</f>
        <v>177000</v>
      </c>
      <c r="C591" s="211">
        <f>NPV(B567,C575,D575:V575)+B575-(V573*$B$4/(1+B567)^20)</f>
        <v>194691.32309885733</v>
      </c>
      <c r="D591" s="212">
        <f>NPV(B567,C575,D575:AA575)+B575-(AA573*$B$4/(1+B567)^25)</f>
        <v>206458.87874609546</v>
      </c>
      <c r="E591"/>
      <c r="F591"/>
      <c r="G591"/>
      <c r="H591"/>
      <c r="I591"/>
      <c r="J591"/>
      <c r="K591" s="23"/>
      <c r="L591" s="23"/>
      <c r="M591" s="23"/>
      <c r="N591" s="23"/>
      <c r="O591" s="23"/>
      <c r="P591" s="23"/>
      <c r="Q591" s="23"/>
      <c r="R591" s="23"/>
      <c r="S591" s="23"/>
      <c r="T591" s="23"/>
      <c r="U591" s="23"/>
      <c r="V591" s="23"/>
      <c r="W591" s="23"/>
      <c r="X591" s="3"/>
      <c r="Y591" s="4"/>
      <c r="Z591" s="4"/>
      <c r="AA591" s="4"/>
    </row>
    <row r="592" spans="1:27">
      <c r="A592" s="209" t="s">
        <v>86</v>
      </c>
      <c r="B592" s="210">
        <f>NPV(B567,C579,D579:Q579)+B579</f>
        <v>11473.178412896696</v>
      </c>
      <c r="C592" s="211">
        <f>NPV(B567,C579,D579:V579)+B579</f>
        <v>13294.659066247254</v>
      </c>
      <c r="D592" s="212">
        <f>NPV(B567,C579,D579:AA579)+B579</f>
        <v>15170.563731327291</v>
      </c>
      <c r="E592"/>
      <c r="F592"/>
      <c r="G592"/>
      <c r="H592"/>
      <c r="I592"/>
      <c r="J592"/>
      <c r="K592" s="23"/>
      <c r="L592" s="23"/>
      <c r="M592" s="23"/>
      <c r="N592" s="23"/>
      <c r="O592" s="23"/>
      <c r="P592" s="23"/>
      <c r="Q592" s="23"/>
      <c r="R592" s="23"/>
      <c r="S592" s="23"/>
      <c r="T592" s="23"/>
      <c r="U592" s="23"/>
      <c r="V592" s="23"/>
      <c r="W592" s="23"/>
      <c r="X592" s="3"/>
      <c r="Y592" s="4"/>
      <c r="Z592" s="4"/>
      <c r="AA592" s="4"/>
    </row>
    <row r="593" spans="1:27">
      <c r="A593" s="209" t="s">
        <v>90</v>
      </c>
      <c r="B593" s="210">
        <f>NPV(B567,C584,D584:Q584)+B584</f>
        <v>25282.330049769182</v>
      </c>
      <c r="C593" s="211">
        <f>NPV(B567,C584,D584:V584)+B584</f>
        <v>30669.065400683648</v>
      </c>
      <c r="D593" s="212">
        <f>NPV(B567,C584,D584:AA584)+B584</f>
        <v>35009.222674900215</v>
      </c>
      <c r="E593"/>
      <c r="F593"/>
      <c r="G593"/>
      <c r="H593"/>
      <c r="I593"/>
      <c r="J593"/>
      <c r="K593" s="23"/>
      <c r="L593" s="23"/>
      <c r="M593" s="23"/>
      <c r="N593" s="23"/>
      <c r="O593" s="23"/>
      <c r="P593" s="23"/>
      <c r="Q593" s="23"/>
      <c r="R593" s="23"/>
      <c r="S593" s="23"/>
      <c r="T593" s="23"/>
      <c r="U593" s="23"/>
      <c r="V593" s="23"/>
      <c r="W593" s="23"/>
      <c r="X593" s="3"/>
      <c r="Y593" s="4"/>
      <c r="Z593" s="4"/>
      <c r="AA593" s="4"/>
    </row>
    <row r="594" spans="1:27" s="1" customFormat="1" ht="16" thickBot="1">
      <c r="A594" s="215" t="s">
        <v>303</v>
      </c>
      <c r="B594" s="646">
        <f>((Q573-Q572)/(1+B567)^15)*$B$4</f>
        <v>-6.8356640964988485E-12</v>
      </c>
      <c r="C594" s="217">
        <f>((V573-V572)/(1+B567)^20)*$B$4</f>
        <v>19346.993454147356</v>
      </c>
      <c r="D594" s="218">
        <f>(AA573/(1+B567)^25)*$B$4</f>
        <v>7579.4378069092199</v>
      </c>
      <c r="E594"/>
      <c r="F594"/>
      <c r="G594"/>
      <c r="H594"/>
      <c r="I594"/>
      <c r="J594"/>
      <c r="K594" s="23"/>
      <c r="L594" s="23"/>
      <c r="M594" s="23"/>
      <c r="N594" s="23"/>
      <c r="O594" s="23"/>
      <c r="P594" s="23"/>
      <c r="Q594" s="23"/>
      <c r="R594" s="23"/>
      <c r="S594" s="23"/>
      <c r="T594" s="23"/>
      <c r="U594" s="23"/>
      <c r="V594" s="23"/>
      <c r="W594" s="23"/>
      <c r="X594" s="3"/>
      <c r="Y594" s="3"/>
      <c r="Z594" s="3"/>
      <c r="AA594" s="3"/>
    </row>
    <row r="595" spans="1:27" s="27" customFormat="1" ht="16" thickTop="1">
      <c r="A595" s="58"/>
      <c r="B595" s="480"/>
      <c r="C595" s="480"/>
      <c r="D595" s="480"/>
      <c r="E595"/>
      <c r="F595"/>
      <c r="G595"/>
      <c r="H595"/>
      <c r="I595"/>
      <c r="J595"/>
      <c r="K595" s="240"/>
      <c r="L595" s="240"/>
      <c r="M595" s="240"/>
      <c r="N595" s="240"/>
      <c r="O595" s="240"/>
      <c r="P595" s="240"/>
      <c r="Q595" s="240"/>
      <c r="R595" s="240"/>
      <c r="S595" s="240"/>
      <c r="T595" s="240"/>
      <c r="U595" s="240"/>
      <c r="V595" s="240"/>
      <c r="W595" s="240"/>
      <c r="X595" s="241"/>
      <c r="Y595" s="242"/>
      <c r="Z595" s="242"/>
      <c r="AA595" s="242"/>
    </row>
    <row r="596" spans="1:27">
      <c r="A596" s="4"/>
      <c r="B596" s="486"/>
      <c r="C596" s="13"/>
      <c r="D596" s="486"/>
      <c r="E596"/>
      <c r="F596"/>
      <c r="G596"/>
      <c r="H596"/>
      <c r="I596"/>
      <c r="J596"/>
      <c r="K596" s="5"/>
      <c r="L596" s="5"/>
      <c r="M596" s="5"/>
      <c r="N596" s="5"/>
      <c r="O596" s="5"/>
      <c r="P596" s="5"/>
      <c r="Q596" s="5"/>
      <c r="R596" s="5"/>
      <c r="S596" s="5"/>
      <c r="T596" s="5"/>
      <c r="U596" s="5"/>
      <c r="V596" s="4"/>
      <c r="W596" s="4"/>
      <c r="X596" s="4"/>
      <c r="Y596" s="4"/>
      <c r="Z596" s="4"/>
      <c r="AA596" s="4"/>
    </row>
    <row r="597" spans="1:27">
      <c r="A597" s="4"/>
      <c r="B597" s="24"/>
      <c r="C597"/>
      <c r="D597"/>
      <c r="E597"/>
      <c r="F597"/>
      <c r="G597"/>
      <c r="H597"/>
      <c r="I597"/>
      <c r="J597"/>
      <c r="K597" s="5"/>
      <c r="L597" s="5"/>
      <c r="M597" s="5"/>
      <c r="N597" s="5"/>
      <c r="O597" s="5"/>
      <c r="P597" s="5"/>
      <c r="Q597" s="5"/>
      <c r="R597" s="5"/>
      <c r="S597" s="5"/>
      <c r="T597" s="5"/>
      <c r="U597" s="5"/>
      <c r="V597" s="4"/>
      <c r="W597" s="4"/>
      <c r="X597" s="4"/>
      <c r="Y597" s="4"/>
      <c r="Z597" s="4"/>
      <c r="AA597" s="4"/>
    </row>
    <row r="598" spans="1:27">
      <c r="A598" s="4"/>
      <c r="B598"/>
      <c r="C598"/>
      <c r="D598"/>
      <c r="E598"/>
      <c r="F598"/>
      <c r="G598"/>
      <c r="H598"/>
      <c r="I598"/>
      <c r="J598"/>
      <c r="K598" s="5"/>
      <c r="L598" s="5"/>
      <c r="M598" s="5"/>
      <c r="N598" s="5"/>
      <c r="O598" s="5"/>
      <c r="P598" s="5"/>
      <c r="Q598" s="5"/>
      <c r="R598" s="5"/>
      <c r="S598" s="5"/>
      <c r="T598" s="5"/>
      <c r="U598" s="5"/>
      <c r="V598" s="4"/>
      <c r="W598" s="4"/>
      <c r="X598" s="4"/>
      <c r="Y598" s="4"/>
      <c r="Z598" s="4"/>
      <c r="AA598" s="4"/>
    </row>
    <row r="599" spans="1:27">
      <c r="A599" s="4"/>
      <c r="B599"/>
      <c r="C599"/>
      <c r="D599"/>
      <c r="E599"/>
      <c r="F599"/>
      <c r="G599"/>
      <c r="H599"/>
      <c r="I599"/>
      <c r="J599"/>
      <c r="K599" s="5"/>
      <c r="L599" s="5"/>
      <c r="M599" s="5"/>
      <c r="N599" s="5"/>
      <c r="O599" s="5"/>
      <c r="P599" s="5"/>
      <c r="Q599" s="5"/>
      <c r="R599" s="5"/>
      <c r="S599" s="5"/>
      <c r="T599" s="5"/>
      <c r="U599" s="5"/>
      <c r="V599" s="4"/>
      <c r="W599" s="4"/>
      <c r="X599" s="4"/>
      <c r="Y599" s="4"/>
      <c r="Z599" s="4"/>
      <c r="AA599" s="4"/>
    </row>
    <row r="600" spans="1:27">
      <c r="A600" s="4"/>
      <c r="B600"/>
      <c r="C600"/>
      <c r="D600"/>
      <c r="E600"/>
      <c r="F600"/>
      <c r="G600"/>
      <c r="H600"/>
      <c r="I600"/>
      <c r="J600"/>
      <c r="K600" s="5"/>
      <c r="L600" s="5"/>
      <c r="M600" s="5"/>
      <c r="N600" s="5"/>
      <c r="O600" s="5"/>
      <c r="P600" s="5"/>
      <c r="Q600" s="5"/>
      <c r="R600" s="5"/>
      <c r="S600" s="5"/>
      <c r="T600" s="5"/>
      <c r="U600" s="5"/>
      <c r="V600" s="4"/>
      <c r="W600" s="4"/>
      <c r="X600" s="4"/>
      <c r="Y600" s="4"/>
      <c r="Z600" s="4"/>
      <c r="AA600" s="4"/>
    </row>
    <row r="601" spans="1:27">
      <c r="A601" s="4"/>
      <c r="B601"/>
      <c r="C601"/>
      <c r="D601"/>
      <c r="E601"/>
      <c r="F601"/>
      <c r="G601"/>
      <c r="H601"/>
      <c r="I601"/>
      <c r="J601"/>
      <c r="K601" s="5"/>
      <c r="L601" s="5"/>
      <c r="M601" s="5"/>
      <c r="N601" s="5"/>
      <c r="O601" s="5"/>
      <c r="P601" s="5"/>
      <c r="Q601" s="5"/>
      <c r="R601" s="5"/>
      <c r="S601" s="5"/>
      <c r="T601" s="5"/>
      <c r="U601" s="5"/>
      <c r="V601" s="4"/>
      <c r="W601" s="4"/>
      <c r="X601" s="4"/>
      <c r="Y601" s="4"/>
      <c r="Z601" s="4"/>
      <c r="AA601" s="4"/>
    </row>
    <row r="602" spans="1:27">
      <c r="B602"/>
      <c r="C602"/>
      <c r="D602"/>
      <c r="E602"/>
      <c r="F602"/>
      <c r="G602"/>
      <c r="H602"/>
      <c r="I602"/>
      <c r="J602"/>
    </row>
    <row r="603" spans="1:27">
      <c r="B603"/>
      <c r="C603"/>
      <c r="D603"/>
      <c r="E603"/>
      <c r="F603"/>
      <c r="G603"/>
      <c r="H603"/>
      <c r="I603"/>
      <c r="J603"/>
    </row>
    <row r="604" spans="1:27">
      <c r="B604"/>
      <c r="C604"/>
      <c r="D604"/>
      <c r="E604"/>
      <c r="F604"/>
      <c r="G604"/>
      <c r="H604"/>
      <c r="I604"/>
      <c r="J604"/>
    </row>
    <row r="605" spans="1:27">
      <c r="E605"/>
      <c r="F605"/>
      <c r="G605"/>
      <c r="H605"/>
      <c r="I605"/>
      <c r="J605"/>
    </row>
  </sheetData>
  <sheetProtection selectLockedCells="1" selectUnlockedCells="1"/>
  <mergeCells count="21">
    <mergeCell ref="B1:C1"/>
    <mergeCell ref="B2:C2"/>
    <mergeCell ref="B3:C3"/>
    <mergeCell ref="D2:G3"/>
    <mergeCell ref="A300:B300"/>
    <mergeCell ref="A11:B11"/>
    <mergeCell ref="C11:N11"/>
    <mergeCell ref="C7:N7"/>
    <mergeCell ref="A257:B257"/>
    <mergeCell ref="A50:B50"/>
    <mergeCell ref="A89:B89"/>
    <mergeCell ref="C128:R128"/>
    <mergeCell ref="A214:B214"/>
    <mergeCell ref="A171:B171"/>
    <mergeCell ref="A128:B128"/>
    <mergeCell ref="A558:B558"/>
    <mergeCell ref="A343:B343"/>
    <mergeCell ref="A386:B386"/>
    <mergeCell ref="A429:B429"/>
    <mergeCell ref="A515:B515"/>
    <mergeCell ref="A472:B472"/>
  </mergeCells>
  <phoneticPr fontId="2" type="noConversion"/>
  <dataValidations disablePrompts="1" count="2">
    <dataValidation type="list" errorStyle="warning" showInputMessage="1" showErrorMessage="1" errorTitle="Region" error="If a default region is not selected, please manually enter the Fuel Costs for each system." sqref="B2:C2">
      <formula1>IF(B3="",Region,INDIRECT("FakeRange"))</formula1>
    </dataValidation>
    <dataValidation type="list" errorStyle="warning" allowBlank="1" showInputMessage="1" showErrorMessage="1" errorTitle="Location" error="If a default Location is not selected from the list, please manually enter Fuel Costs for each system." sqref="B3:C3">
      <formula1>INDIRECT($B$2)</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A1:P121"/>
  <sheetViews>
    <sheetView workbookViewId="0">
      <selection activeCell="H14" sqref="H14"/>
    </sheetView>
  </sheetViews>
  <sheetFormatPr baseColWidth="10" defaultRowHeight="15" x14ac:dyDescent="0"/>
  <cols>
    <col min="1" max="1" width="7" customWidth="1"/>
    <col min="2" max="2" width="24" style="3" customWidth="1"/>
    <col min="3" max="6" width="11.83203125" style="5" customWidth="1"/>
    <col min="7" max="7" width="10.83203125" style="4"/>
    <col min="8" max="8" width="14.83203125" style="4" customWidth="1"/>
    <col min="9" max="9" width="10.83203125" style="4"/>
    <col min="10" max="10" width="13.6640625" style="4" customWidth="1"/>
    <col min="11" max="13" width="10.83203125" style="4"/>
  </cols>
  <sheetData>
    <row r="1" spans="1:16" ht="16" customHeight="1" thickTop="1" thickBot="1">
      <c r="A1" s="630"/>
      <c r="B1" s="1069" t="s">
        <v>218</v>
      </c>
      <c r="C1" s="1070"/>
      <c r="D1" s="1079" t="s">
        <v>219</v>
      </c>
      <c r="E1" s="1075" t="s">
        <v>316</v>
      </c>
      <c r="F1" s="1077" t="s">
        <v>317</v>
      </c>
      <c r="G1" s="595"/>
      <c r="H1" s="635" t="s">
        <v>398</v>
      </c>
      <c r="I1" s="1073" t="s">
        <v>399</v>
      </c>
      <c r="J1" s="1073"/>
      <c r="K1" s="1073"/>
      <c r="L1" s="1073"/>
      <c r="M1" s="1073"/>
      <c r="N1" s="1073"/>
      <c r="O1" s="1073"/>
      <c r="P1" s="1074"/>
    </row>
    <row r="2" spans="1:16" ht="16" customHeight="1" thickBot="1">
      <c r="A2" s="631"/>
      <c r="B2" s="1071"/>
      <c r="C2" s="1072"/>
      <c r="D2" s="1080"/>
      <c r="E2" s="1076"/>
      <c r="F2" s="1078"/>
      <c r="G2" s="595"/>
      <c r="H2" s="636" t="s">
        <v>383</v>
      </c>
      <c r="I2" s="607" t="s">
        <v>382</v>
      </c>
      <c r="J2" s="608" t="s">
        <v>204</v>
      </c>
      <c r="K2" s="608" t="s">
        <v>395</v>
      </c>
      <c r="L2" s="608" t="s">
        <v>396</v>
      </c>
      <c r="M2" s="608" t="s">
        <v>380</v>
      </c>
      <c r="N2" s="608" t="s">
        <v>48</v>
      </c>
      <c r="O2" s="608" t="s">
        <v>43</v>
      </c>
      <c r="P2" s="609" t="s">
        <v>45</v>
      </c>
    </row>
    <row r="3" spans="1:16" ht="16" customHeight="1" thickTop="1">
      <c r="A3" s="632"/>
      <c r="B3" s="1065" t="s">
        <v>383</v>
      </c>
      <c r="C3" s="63" t="s">
        <v>382</v>
      </c>
      <c r="D3" s="307">
        <f t="shared" ref="D3:D30" si="0">D77</f>
        <v>0.24972</v>
      </c>
      <c r="E3" s="77">
        <v>6.4799948160041462E-2</v>
      </c>
      <c r="F3" s="64">
        <v>8.5000000000000006E-2</v>
      </c>
      <c r="G3" s="220"/>
      <c r="H3" s="637" t="s">
        <v>384</v>
      </c>
      <c r="I3" s="605" t="s">
        <v>42</v>
      </c>
      <c r="J3" s="599" t="s">
        <v>385</v>
      </c>
      <c r="K3" s="597" t="s">
        <v>386</v>
      </c>
      <c r="L3" s="599" t="s">
        <v>41</v>
      </c>
      <c r="M3" s="597" t="s">
        <v>205</v>
      </c>
      <c r="N3" s="597" t="s">
        <v>387</v>
      </c>
      <c r="O3" s="597" t="s">
        <v>494</v>
      </c>
      <c r="P3" s="598" t="s">
        <v>47</v>
      </c>
    </row>
    <row r="4" spans="1:16">
      <c r="A4" s="633"/>
      <c r="B4" s="1045"/>
      <c r="C4" s="65" t="s">
        <v>204</v>
      </c>
      <c r="D4" s="308">
        <f t="shared" si="0"/>
        <v>0.19584000000000001</v>
      </c>
      <c r="E4" s="78">
        <v>6.5000000000000002E-2</v>
      </c>
      <c r="F4" s="112">
        <v>8.5000000000000006E-2</v>
      </c>
      <c r="G4" s="306"/>
      <c r="H4" s="637" t="s">
        <v>388</v>
      </c>
      <c r="I4" s="605" t="s">
        <v>389</v>
      </c>
      <c r="J4" s="600" t="s">
        <v>397</v>
      </c>
      <c r="K4" s="600" t="s">
        <v>390</v>
      </c>
      <c r="L4" s="597" t="s">
        <v>31</v>
      </c>
      <c r="M4" s="597" t="s">
        <v>65</v>
      </c>
      <c r="N4" s="597" t="s">
        <v>66</v>
      </c>
      <c r="O4" s="597" t="s">
        <v>206</v>
      </c>
      <c r="P4" s="601"/>
    </row>
    <row r="5" spans="1:16">
      <c r="A5" s="633"/>
      <c r="B5" s="1045"/>
      <c r="C5" s="65" t="s">
        <v>395</v>
      </c>
      <c r="D5" s="308">
        <f t="shared" si="0"/>
        <v>0.17729999999999999</v>
      </c>
      <c r="E5" s="78">
        <v>6.5000000000000002E-2</v>
      </c>
      <c r="F5" s="66">
        <v>8.5000000000000006E-2</v>
      </c>
      <c r="G5" s="220"/>
      <c r="H5" s="637" t="s">
        <v>392</v>
      </c>
      <c r="I5" s="605" t="s">
        <v>44</v>
      </c>
      <c r="J5" s="597" t="s">
        <v>46</v>
      </c>
      <c r="K5" s="597" t="s">
        <v>67</v>
      </c>
      <c r="L5" s="597" t="s">
        <v>68</v>
      </c>
      <c r="M5" s="600"/>
      <c r="N5" s="600"/>
      <c r="O5" s="600"/>
      <c r="P5" s="601"/>
    </row>
    <row r="6" spans="1:16">
      <c r="A6" s="633"/>
      <c r="B6" s="1045"/>
      <c r="C6" s="65" t="s">
        <v>396</v>
      </c>
      <c r="D6" s="308">
        <f t="shared" si="0"/>
        <v>0.17262</v>
      </c>
      <c r="E6" s="78">
        <v>6.5000000000000002E-2</v>
      </c>
      <c r="F6" s="66">
        <v>8.5000000000000006E-2</v>
      </c>
      <c r="G6" s="220"/>
      <c r="H6" s="637" t="s">
        <v>393</v>
      </c>
      <c r="I6" s="605" t="s">
        <v>69</v>
      </c>
      <c r="J6" s="597" t="s">
        <v>70</v>
      </c>
      <c r="K6" s="597" t="s">
        <v>71</v>
      </c>
      <c r="L6" s="597" t="s">
        <v>72</v>
      </c>
      <c r="M6" s="597" t="s">
        <v>73</v>
      </c>
      <c r="N6" s="597" t="s">
        <v>75</v>
      </c>
      <c r="O6" s="600"/>
      <c r="P6" s="601"/>
    </row>
    <row r="7" spans="1:16" ht="16" thickBot="1">
      <c r="A7" s="633"/>
      <c r="B7" s="1045"/>
      <c r="C7" s="65" t="s">
        <v>380</v>
      </c>
      <c r="D7" s="308">
        <f t="shared" si="0"/>
        <v>0.18791999999999998</v>
      </c>
      <c r="E7" s="78">
        <v>6.5000000000000002E-2</v>
      </c>
      <c r="F7" s="66">
        <v>8.5000000000000006E-2</v>
      </c>
      <c r="G7" s="220"/>
      <c r="H7" s="638" t="s">
        <v>394</v>
      </c>
      <c r="I7" s="606" t="s">
        <v>74</v>
      </c>
      <c r="J7" s="602" t="s">
        <v>76</v>
      </c>
      <c r="K7" s="602" t="s">
        <v>77</v>
      </c>
      <c r="L7" s="602" t="s">
        <v>78</v>
      </c>
      <c r="M7" s="602" t="s">
        <v>79</v>
      </c>
      <c r="N7" s="602" t="s">
        <v>80</v>
      </c>
      <c r="O7" s="603"/>
      <c r="P7" s="604"/>
    </row>
    <row r="8" spans="1:16">
      <c r="A8" s="633"/>
      <c r="B8" s="1045"/>
      <c r="C8" s="65" t="s">
        <v>48</v>
      </c>
      <c r="D8" s="308">
        <f t="shared" si="0"/>
        <v>0.19614000000000001</v>
      </c>
      <c r="E8" s="308">
        <v>6.5000000000000002E-2</v>
      </c>
      <c r="F8" s="66">
        <v>8.5000000000000006E-2</v>
      </c>
      <c r="G8" s="220"/>
      <c r="H8"/>
      <c r="L8"/>
      <c r="M8"/>
    </row>
    <row r="9" spans="1:16" ht="17" customHeight="1">
      <c r="A9" s="631"/>
      <c r="B9" s="1045"/>
      <c r="C9" s="65" t="s">
        <v>43</v>
      </c>
      <c r="D9" s="308">
        <f t="shared" si="0"/>
        <v>0.19991999999999999</v>
      </c>
      <c r="E9" s="308">
        <v>6.5000000000000002E-2</v>
      </c>
      <c r="F9" s="66">
        <v>8.5000000000000006E-2</v>
      </c>
      <c r="G9" s="220"/>
      <c r="H9"/>
      <c r="L9"/>
      <c r="M9"/>
    </row>
    <row r="10" spans="1:16" ht="17" customHeight="1" thickBot="1">
      <c r="A10" s="631"/>
      <c r="B10" s="1046"/>
      <c r="C10" s="67" t="s">
        <v>45</v>
      </c>
      <c r="D10" s="82">
        <f t="shared" si="0"/>
        <v>0.1845</v>
      </c>
      <c r="E10" s="81">
        <v>6.5000000000000002E-2</v>
      </c>
      <c r="F10" s="68">
        <v>8.5000000000000006E-2</v>
      </c>
      <c r="G10" s="220"/>
      <c r="H10"/>
      <c r="L10"/>
      <c r="M10"/>
    </row>
    <row r="11" spans="1:16" ht="16" thickTop="1">
      <c r="A11" s="631"/>
      <c r="B11" s="1066" t="s">
        <v>384</v>
      </c>
      <c r="C11" s="63" t="s">
        <v>42</v>
      </c>
      <c r="D11" s="307">
        <f t="shared" si="0"/>
        <v>0.18372000000000002</v>
      </c>
      <c r="E11" s="310">
        <v>6.5000000000000002E-2</v>
      </c>
      <c r="F11" s="592">
        <v>8.5000000000000006E-2</v>
      </c>
      <c r="G11" s="596"/>
      <c r="H11"/>
      <c r="L11"/>
      <c r="M11"/>
    </row>
    <row r="12" spans="1:16">
      <c r="A12" s="631"/>
      <c r="B12" s="1048"/>
      <c r="C12" s="115" t="s">
        <v>385</v>
      </c>
      <c r="D12" s="308">
        <f t="shared" si="0"/>
        <v>0.17586000000000002</v>
      </c>
      <c r="E12" s="78">
        <v>6.5000000000000002E-2</v>
      </c>
      <c r="F12" s="66">
        <v>8.5000000000000006E-2</v>
      </c>
      <c r="H12"/>
      <c r="L12"/>
      <c r="M12"/>
    </row>
    <row r="13" spans="1:16">
      <c r="A13" s="634"/>
      <c r="B13" s="1048"/>
      <c r="C13" s="65" t="s">
        <v>386</v>
      </c>
      <c r="D13" s="308">
        <f t="shared" si="0"/>
        <v>0.20105999999999999</v>
      </c>
      <c r="E13" s="78">
        <v>6.5000000000000002E-2</v>
      </c>
      <c r="F13" s="66">
        <v>8.5000000000000006E-2</v>
      </c>
      <c r="H13"/>
      <c r="L13"/>
      <c r="M13"/>
    </row>
    <row r="14" spans="1:16">
      <c r="A14" s="634"/>
      <c r="B14" s="1048"/>
      <c r="C14" s="115" t="s">
        <v>41</v>
      </c>
      <c r="D14" s="308">
        <f t="shared" si="0"/>
        <v>0.20418</v>
      </c>
      <c r="E14" s="78">
        <v>6.5000000000000002E-2</v>
      </c>
      <c r="F14" s="66">
        <v>8.5000000000000006E-2</v>
      </c>
      <c r="H14"/>
      <c r="L14"/>
      <c r="M14"/>
    </row>
    <row r="15" spans="1:16">
      <c r="A15" s="634"/>
      <c r="B15" s="1048"/>
      <c r="C15" s="65" t="s">
        <v>205</v>
      </c>
      <c r="D15" s="308">
        <f t="shared" si="0"/>
        <v>0.18654000000000001</v>
      </c>
      <c r="E15" s="311">
        <v>6.5000000000000002E-2</v>
      </c>
      <c r="F15" s="581">
        <v>8.5000000000000006E-2</v>
      </c>
      <c r="H15"/>
      <c r="K15"/>
      <c r="L15"/>
      <c r="M15"/>
    </row>
    <row r="16" spans="1:16" ht="16" customHeight="1">
      <c r="A16" s="634"/>
      <c r="B16" s="1048"/>
      <c r="C16" s="65" t="s">
        <v>387</v>
      </c>
      <c r="D16" s="308">
        <f t="shared" si="0"/>
        <v>0.22853999999999999</v>
      </c>
      <c r="E16" s="78">
        <v>6.5000000000000002E-2</v>
      </c>
      <c r="F16" s="66">
        <v>8.5000000000000006E-2</v>
      </c>
      <c r="H16"/>
      <c r="J16"/>
      <c r="K16"/>
      <c r="L16"/>
      <c r="M16"/>
    </row>
    <row r="17" spans="1:13">
      <c r="A17" s="634"/>
      <c r="B17" s="1048"/>
      <c r="C17" s="65" t="s">
        <v>494</v>
      </c>
      <c r="D17" s="308">
        <f t="shared" si="0"/>
        <v>0.18192</v>
      </c>
      <c r="E17" s="78">
        <v>6.5000000000000002E-2</v>
      </c>
      <c r="F17" s="80">
        <v>8.5000000000000006E-2</v>
      </c>
      <c r="H17"/>
      <c r="J17"/>
      <c r="K17"/>
      <c r="L17"/>
      <c r="M17"/>
    </row>
    <row r="18" spans="1:13" ht="16" thickBot="1">
      <c r="A18" s="634"/>
      <c r="B18" s="1049"/>
      <c r="C18" s="67" t="s">
        <v>47</v>
      </c>
      <c r="D18" s="82">
        <f t="shared" si="0"/>
        <v>0.18768000000000001</v>
      </c>
      <c r="E18" s="81">
        <v>6.5000000000000002E-2</v>
      </c>
      <c r="F18" s="83">
        <v>8.5000000000000006E-2</v>
      </c>
      <c r="H18"/>
      <c r="J18"/>
      <c r="K18"/>
      <c r="L18"/>
      <c r="M18"/>
    </row>
    <row r="19" spans="1:13" ht="16" customHeight="1" thickTop="1">
      <c r="A19" s="634"/>
      <c r="B19" s="1044" t="s">
        <v>388</v>
      </c>
      <c r="C19" s="63" t="s">
        <v>389</v>
      </c>
      <c r="D19" s="307">
        <f t="shared" si="0"/>
        <v>0.20357999999999998</v>
      </c>
      <c r="E19" s="593">
        <v>6.5000000000000002E-2</v>
      </c>
      <c r="F19" s="113">
        <v>8.5000000000000006E-2</v>
      </c>
      <c r="H19"/>
      <c r="K19"/>
      <c r="L19"/>
      <c r="M19"/>
    </row>
    <row r="20" spans="1:13">
      <c r="A20" s="634"/>
      <c r="B20" s="1067"/>
      <c r="C20" s="594" t="s">
        <v>397</v>
      </c>
      <c r="D20" s="309">
        <f t="shared" si="0"/>
        <v>0.18114</v>
      </c>
      <c r="E20" s="79">
        <v>6.5000000000000002E-2</v>
      </c>
      <c r="F20" s="112">
        <v>8.5000000000000006E-2</v>
      </c>
      <c r="H20"/>
      <c r="K20"/>
      <c r="L20"/>
      <c r="M20"/>
    </row>
    <row r="21" spans="1:13" ht="16" customHeight="1">
      <c r="A21" s="634"/>
      <c r="B21" s="1067"/>
      <c r="C21" s="594" t="s">
        <v>390</v>
      </c>
      <c r="D21" s="309">
        <f t="shared" si="0"/>
        <v>0.17862</v>
      </c>
      <c r="E21" s="79">
        <v>6.5000000000000002E-2</v>
      </c>
      <c r="F21" s="112">
        <v>8.5000000000000006E-2</v>
      </c>
      <c r="H21"/>
      <c r="K21"/>
      <c r="L21"/>
      <c r="M21"/>
    </row>
    <row r="22" spans="1:13">
      <c r="A22" s="631"/>
      <c r="B22" s="1067"/>
      <c r="C22" s="65" t="s">
        <v>31</v>
      </c>
      <c r="D22" s="309">
        <f t="shared" si="0"/>
        <v>0.17363999999999999</v>
      </c>
      <c r="E22" s="79">
        <v>6.5000000000000002E-2</v>
      </c>
      <c r="F22" s="112">
        <v>8.5000000000000006E-2</v>
      </c>
      <c r="H22"/>
      <c r="K22"/>
      <c r="L22"/>
      <c r="M22"/>
    </row>
    <row r="23" spans="1:13">
      <c r="A23" s="631"/>
      <c r="B23" s="1067"/>
      <c r="C23" s="65" t="s">
        <v>65</v>
      </c>
      <c r="D23" s="309">
        <f t="shared" si="0"/>
        <v>0.18239999999999998</v>
      </c>
      <c r="E23" s="79">
        <v>6.5000000000000002E-2</v>
      </c>
      <c r="F23" s="112">
        <v>8.5000000000000006E-2</v>
      </c>
      <c r="H23"/>
      <c r="K23"/>
      <c r="L23"/>
      <c r="M23"/>
    </row>
    <row r="24" spans="1:13">
      <c r="A24" s="631"/>
      <c r="B24" s="1067"/>
      <c r="C24" s="65" t="s">
        <v>66</v>
      </c>
      <c r="D24" s="311">
        <f t="shared" si="0"/>
        <v>0.17304</v>
      </c>
      <c r="E24" s="79">
        <v>6.5000000000000002E-2</v>
      </c>
      <c r="F24" s="112">
        <v>8.5000000000000006E-2</v>
      </c>
      <c r="H24"/>
      <c r="K24"/>
      <c r="L24"/>
      <c r="M24"/>
    </row>
    <row r="25" spans="1:13" ht="16" thickBot="1">
      <c r="A25" s="631"/>
      <c r="B25" s="1068"/>
      <c r="C25" s="67" t="s">
        <v>206</v>
      </c>
      <c r="D25" s="312">
        <f t="shared" si="0"/>
        <v>0.21798000000000001</v>
      </c>
      <c r="E25" s="84">
        <v>6.5000000000000002E-2</v>
      </c>
      <c r="F25" s="114">
        <v>8.5000000000000006E-2</v>
      </c>
      <c r="H25"/>
      <c r="K25"/>
      <c r="L25"/>
      <c r="M25"/>
    </row>
    <row r="26" spans="1:13" ht="16" thickTop="1">
      <c r="A26" s="631"/>
      <c r="B26" s="1044" t="s">
        <v>392</v>
      </c>
      <c r="C26" s="63" t="s">
        <v>44</v>
      </c>
      <c r="D26" s="310">
        <f t="shared" si="0"/>
        <v>0.19644</v>
      </c>
      <c r="E26" s="85">
        <v>6.5000000000000002E-2</v>
      </c>
      <c r="F26" s="113">
        <v>8.5000000000000006E-2</v>
      </c>
      <c r="H26"/>
      <c r="K26"/>
      <c r="L26"/>
      <c r="M26"/>
    </row>
    <row r="27" spans="1:13">
      <c r="A27" s="631"/>
      <c r="B27" s="1045"/>
      <c r="C27" s="65" t="s">
        <v>46</v>
      </c>
      <c r="D27" s="311">
        <f t="shared" si="0"/>
        <v>0.1968</v>
      </c>
      <c r="E27" s="79">
        <v>6.5000000000000002E-2</v>
      </c>
      <c r="F27" s="112">
        <v>8.5000000000000006E-2</v>
      </c>
      <c r="H27"/>
      <c r="K27"/>
      <c r="L27"/>
      <c r="M27"/>
    </row>
    <row r="28" spans="1:13">
      <c r="A28" s="631"/>
      <c r="B28" s="1045"/>
      <c r="C28" s="65" t="s">
        <v>67</v>
      </c>
      <c r="D28" s="311">
        <f t="shared" si="0"/>
        <v>0.23712</v>
      </c>
      <c r="E28" s="79">
        <v>6.5000000000000002E-2</v>
      </c>
      <c r="F28" s="112">
        <v>8.5000000000000006E-2</v>
      </c>
      <c r="H28"/>
      <c r="K28"/>
      <c r="L28"/>
      <c r="M28"/>
    </row>
    <row r="29" spans="1:13" ht="16" thickBot="1">
      <c r="A29" s="631"/>
      <c r="B29" s="1046"/>
      <c r="C29" s="67" t="s">
        <v>68</v>
      </c>
      <c r="D29" s="312">
        <f t="shared" si="0"/>
        <v>0.21755999999999998</v>
      </c>
      <c r="E29" s="84">
        <v>6.5000000000000002E-2</v>
      </c>
      <c r="F29" s="114">
        <v>8.5000000000000006E-2</v>
      </c>
      <c r="H29"/>
      <c r="K29"/>
      <c r="L29"/>
      <c r="M29"/>
    </row>
    <row r="30" spans="1:13" ht="16" thickTop="1">
      <c r="A30" s="631"/>
      <c r="B30" s="1047" t="s">
        <v>393</v>
      </c>
      <c r="C30" s="63" t="s">
        <v>69</v>
      </c>
      <c r="D30" s="310">
        <f t="shared" si="0"/>
        <v>0.17712</v>
      </c>
      <c r="E30" s="85">
        <v>6.5000000000000002E-2</v>
      </c>
      <c r="F30" s="113">
        <v>8.5000000000000006E-2</v>
      </c>
      <c r="H30"/>
      <c r="K30"/>
      <c r="L30"/>
      <c r="M30"/>
    </row>
    <row r="31" spans="1:13">
      <c r="A31" s="631"/>
      <c r="B31" s="1048"/>
      <c r="C31" s="65" t="s">
        <v>70</v>
      </c>
      <c r="D31" s="311">
        <f t="shared" ref="D31:D41" si="1">D105</f>
        <v>0.17507999999999999</v>
      </c>
      <c r="E31" s="79">
        <v>6.5000000000000002E-2</v>
      </c>
      <c r="F31" s="112">
        <v>8.5000000000000006E-2</v>
      </c>
      <c r="H31"/>
      <c r="K31"/>
      <c r="L31"/>
      <c r="M31"/>
    </row>
    <row r="32" spans="1:13">
      <c r="A32" s="631"/>
      <c r="B32" s="1048"/>
      <c r="C32" s="65" t="s">
        <v>71</v>
      </c>
      <c r="D32" s="311">
        <f t="shared" si="1"/>
        <v>0.17291999999999999</v>
      </c>
      <c r="E32" s="79">
        <v>6.5000000000000002E-2</v>
      </c>
      <c r="F32" s="112">
        <v>8.5000000000000006E-2</v>
      </c>
      <c r="H32"/>
      <c r="I32"/>
    </row>
    <row r="33" spans="1:14">
      <c r="A33" s="631"/>
      <c r="B33" s="1048"/>
      <c r="C33" s="65" t="s">
        <v>72</v>
      </c>
      <c r="D33" s="311">
        <f t="shared" si="1"/>
        <v>0.16854</v>
      </c>
      <c r="E33" s="79">
        <v>6.5000000000000002E-2</v>
      </c>
      <c r="F33" s="112">
        <v>8.5000000000000006E-2</v>
      </c>
      <c r="H33"/>
      <c r="I33"/>
    </row>
    <row r="34" spans="1:14">
      <c r="A34" s="631"/>
      <c r="B34" s="1048"/>
      <c r="C34" s="65" t="s">
        <v>73</v>
      </c>
      <c r="D34" s="311">
        <f t="shared" si="1"/>
        <v>0.18684000000000001</v>
      </c>
      <c r="E34" s="79">
        <v>6.5000000000000002E-2</v>
      </c>
      <c r="F34" s="112">
        <v>8.5000000000000006E-2</v>
      </c>
      <c r="H34" s="90"/>
      <c r="I34" s="90"/>
      <c r="N34" s="91"/>
    </row>
    <row r="35" spans="1:14" ht="16" thickBot="1">
      <c r="A35" s="631"/>
      <c r="B35" s="1049"/>
      <c r="C35" s="67" t="s">
        <v>75</v>
      </c>
      <c r="D35" s="312">
        <f t="shared" si="1"/>
        <v>0.15720000000000001</v>
      </c>
      <c r="E35" s="84">
        <v>6.5000000000000002E-2</v>
      </c>
      <c r="F35" s="114">
        <v>8.5000000000000006E-2</v>
      </c>
      <c r="H35" s="89"/>
      <c r="I35" s="89"/>
      <c r="N35" s="24"/>
    </row>
    <row r="36" spans="1:14" ht="16" thickTop="1">
      <c r="A36" s="631"/>
      <c r="B36" s="1047" t="s">
        <v>394</v>
      </c>
      <c r="C36" s="63" t="s">
        <v>74</v>
      </c>
      <c r="D36" s="310">
        <f t="shared" si="1"/>
        <v>0.17712</v>
      </c>
      <c r="E36" s="85">
        <v>6.5000000000000002E-2</v>
      </c>
      <c r="F36" s="113">
        <v>8.5000000000000006E-2</v>
      </c>
      <c r="H36" s="89"/>
      <c r="I36" s="89"/>
      <c r="N36" s="24"/>
    </row>
    <row r="37" spans="1:14">
      <c r="A37" s="631"/>
      <c r="B37" s="1050"/>
      <c r="C37" s="65" t="s">
        <v>76</v>
      </c>
      <c r="D37" s="311">
        <f t="shared" si="1"/>
        <v>0.16968</v>
      </c>
      <c r="E37" s="79">
        <v>6.5000000000000002E-2</v>
      </c>
      <c r="F37" s="112">
        <v>8.5000000000000006E-2</v>
      </c>
      <c r="H37" s="89"/>
      <c r="I37" s="89"/>
      <c r="N37" s="24"/>
    </row>
    <row r="38" spans="1:14">
      <c r="A38" s="631"/>
      <c r="B38" s="1050"/>
      <c r="C38" s="65" t="s">
        <v>77</v>
      </c>
      <c r="D38" s="311">
        <f t="shared" si="1"/>
        <v>0.19421999999999998</v>
      </c>
      <c r="E38" s="79">
        <v>6.5000000000000002E-2</v>
      </c>
      <c r="F38" s="112">
        <v>8.5000000000000006E-2</v>
      </c>
      <c r="H38" s="89"/>
      <c r="I38" s="89"/>
      <c r="N38" s="24"/>
    </row>
    <row r="39" spans="1:14">
      <c r="A39" s="631"/>
      <c r="B39" s="1050"/>
      <c r="C39" s="65" t="s">
        <v>78</v>
      </c>
      <c r="D39" s="311">
        <f t="shared" si="1"/>
        <v>0.24647999999999998</v>
      </c>
      <c r="E39" s="79">
        <v>6.5000000000000002E-2</v>
      </c>
      <c r="F39" s="112">
        <v>8.5000000000000006E-2</v>
      </c>
      <c r="H39" s="89"/>
      <c r="I39" s="89"/>
      <c r="N39" s="24"/>
    </row>
    <row r="40" spans="1:14">
      <c r="A40" s="631"/>
      <c r="B40" s="1050"/>
      <c r="C40" s="65" t="s">
        <v>79</v>
      </c>
      <c r="D40" s="311">
        <f t="shared" si="1"/>
        <v>0.19620000000000001</v>
      </c>
      <c r="E40" s="79">
        <v>6.5000000000000002E-2</v>
      </c>
      <c r="F40" s="112">
        <v>8.5000000000000006E-2</v>
      </c>
      <c r="H40" s="89"/>
      <c r="I40" s="89"/>
      <c r="M40"/>
    </row>
    <row r="41" spans="1:14" ht="16" thickBot="1">
      <c r="A41" s="631"/>
      <c r="B41" s="1051"/>
      <c r="C41" s="67" t="s">
        <v>80</v>
      </c>
      <c r="D41" s="312">
        <f t="shared" si="1"/>
        <v>0.16763999999999998</v>
      </c>
      <c r="E41" s="84">
        <v>6.5000000000000002E-2</v>
      </c>
      <c r="F41" s="114">
        <v>8.5000000000000006E-2</v>
      </c>
      <c r="H41" s="89"/>
      <c r="I41" s="89"/>
      <c r="M41"/>
    </row>
    <row r="42" spans="1:14" ht="19" thickTop="1">
      <c r="A42" s="86" t="s">
        <v>220</v>
      </c>
      <c r="B42"/>
      <c r="C42"/>
      <c r="D42"/>
      <c r="E42"/>
      <c r="F42"/>
      <c r="G42"/>
      <c r="H42" s="89"/>
      <c r="I42" s="89"/>
      <c r="M42"/>
    </row>
    <row r="43" spans="1:14" ht="18">
      <c r="A43" s="87" t="s">
        <v>202</v>
      </c>
      <c r="B43" t="s">
        <v>400</v>
      </c>
      <c r="C43"/>
      <c r="D43"/>
      <c r="E43"/>
      <c r="F43"/>
      <c r="G43"/>
      <c r="H43" s="89"/>
      <c r="I43" s="89"/>
      <c r="M43"/>
    </row>
    <row r="44" spans="1:14" ht="18">
      <c r="A44" s="553" t="s">
        <v>202</v>
      </c>
      <c r="B44" s="24" t="s">
        <v>223</v>
      </c>
      <c r="C44" s="24"/>
      <c r="D44" s="24"/>
      <c r="E44" s="24"/>
      <c r="F44" s="24"/>
      <c r="G44" s="89"/>
      <c r="H44" s="89"/>
      <c r="I44" s="89"/>
      <c r="J44" s="5"/>
      <c r="M44"/>
    </row>
    <row r="45" spans="1:14" ht="18">
      <c r="A45" s="92" t="s">
        <v>202</v>
      </c>
      <c r="B45" s="24" t="s">
        <v>222</v>
      </c>
      <c r="C45" s="24"/>
      <c r="D45" s="24"/>
      <c r="E45" s="24"/>
      <c r="F45" s="24"/>
      <c r="G45" s="89"/>
      <c r="H45" s="89"/>
      <c r="I45" s="89"/>
      <c r="J45" s="5"/>
      <c r="M45"/>
    </row>
    <row r="46" spans="1:14" ht="18">
      <c r="A46" s="93"/>
      <c r="B46" s="24"/>
      <c r="C46" s="24"/>
      <c r="D46" s="24"/>
      <c r="E46" s="24"/>
      <c r="F46" s="24"/>
      <c r="G46" s="89"/>
      <c r="H46" s="89"/>
      <c r="I46" s="89"/>
      <c r="M46"/>
    </row>
    <row r="47" spans="1:14" ht="16" thickBot="1">
      <c r="A47" s="24"/>
      <c r="B47" s="24"/>
      <c r="C47" s="24"/>
      <c r="D47" s="24"/>
      <c r="E47" s="24"/>
      <c r="F47" s="24"/>
      <c r="G47" s="89"/>
      <c r="H47" s="89"/>
      <c r="I47" s="91"/>
      <c r="M47"/>
    </row>
    <row r="48" spans="1:14" ht="19" thickTop="1">
      <c r="A48" s="24"/>
      <c r="B48" s="116" t="s">
        <v>110</v>
      </c>
      <c r="C48" s="25"/>
      <c r="D48" s="1055" t="s">
        <v>402</v>
      </c>
      <c r="E48" s="1056"/>
      <c r="F48" s="1057"/>
      <c r="G48" s="89"/>
      <c r="H48" s="89"/>
      <c r="I48" s="91"/>
      <c r="M48"/>
    </row>
    <row r="49" spans="1:16" ht="16" thickBot="1">
      <c r="A49" s="24"/>
      <c r="B49" s="159" t="s">
        <v>401</v>
      </c>
      <c r="C49" s="645">
        <v>5.5999999999999999E-3</v>
      </c>
      <c r="D49" s="1058"/>
      <c r="E49" s="1056"/>
      <c r="F49" s="1057"/>
      <c r="G49" s="89"/>
      <c r="H49" s="89"/>
      <c r="I49" s="91"/>
      <c r="M49"/>
    </row>
    <row r="50" spans="1:16" ht="17" thickTop="1" thickBot="1">
      <c r="J50"/>
      <c r="K50"/>
      <c r="L50"/>
      <c r="M50"/>
    </row>
    <row r="51" spans="1:16" ht="16" customHeight="1" thickTop="1">
      <c r="A51" s="1052" t="s">
        <v>246</v>
      </c>
      <c r="B51" s="1053"/>
      <c r="C51" s="1053"/>
      <c r="D51" s="1053"/>
      <c r="E51" s="1053"/>
      <c r="F51" s="1053"/>
      <c r="G51" s="1053"/>
      <c r="H51" s="1054"/>
      <c r="I51"/>
      <c r="J51"/>
      <c r="K51"/>
      <c r="L51"/>
      <c r="M51"/>
    </row>
    <row r="52" spans="1:16" ht="61" thickBot="1">
      <c r="A52" s="102" t="s">
        <v>33</v>
      </c>
      <c r="B52" s="70" t="s">
        <v>26</v>
      </c>
      <c r="C52" s="69" t="s">
        <v>52</v>
      </c>
      <c r="D52" s="69" t="s">
        <v>207</v>
      </c>
      <c r="E52" s="70" t="s">
        <v>27</v>
      </c>
      <c r="F52" s="70" t="s">
        <v>240</v>
      </c>
      <c r="G52" s="70" t="s">
        <v>28</v>
      </c>
      <c r="H52" s="103" t="s">
        <v>29</v>
      </c>
      <c r="I52"/>
      <c r="J52"/>
      <c r="K52"/>
      <c r="L52"/>
      <c r="M52" s="111"/>
      <c r="N52" s="111"/>
      <c r="O52" s="111"/>
      <c r="P52" s="111"/>
    </row>
    <row r="53" spans="1:16">
      <c r="A53" s="71"/>
      <c r="B53" s="72"/>
      <c r="C53" s="73"/>
      <c r="D53" s="73"/>
      <c r="E53" s="73"/>
      <c r="F53" s="73"/>
      <c r="G53" s="73"/>
      <c r="H53" s="104"/>
      <c r="J53"/>
      <c r="K53"/>
      <c r="L53"/>
      <c r="M53"/>
    </row>
    <row r="54" spans="1:16">
      <c r="A54" s="71">
        <v>1</v>
      </c>
      <c r="B54" s="72" t="s">
        <v>30</v>
      </c>
      <c r="C54" s="73" t="s">
        <v>234</v>
      </c>
      <c r="D54" s="73"/>
      <c r="E54" s="73" t="s">
        <v>235</v>
      </c>
      <c r="F54" s="73"/>
      <c r="G54" s="73"/>
      <c r="H54" s="104"/>
      <c r="I54" s="4" t="s">
        <v>232</v>
      </c>
      <c r="J54"/>
      <c r="K54"/>
      <c r="L54"/>
      <c r="M54"/>
    </row>
    <row r="55" spans="1:16">
      <c r="A55" s="71">
        <v>3</v>
      </c>
      <c r="B55" s="72" t="s">
        <v>71</v>
      </c>
      <c r="C55" s="73" t="s">
        <v>272</v>
      </c>
      <c r="D55" s="73"/>
      <c r="E55" s="73"/>
      <c r="F55" s="73" t="s">
        <v>308</v>
      </c>
      <c r="G55" s="73" t="s">
        <v>273</v>
      </c>
      <c r="H55" s="104"/>
      <c r="I55" s="4" t="s">
        <v>274</v>
      </c>
      <c r="J55"/>
      <c r="K55"/>
      <c r="L55"/>
    </row>
    <row r="56" spans="1:16">
      <c r="A56" s="71">
        <v>3</v>
      </c>
      <c r="B56" s="72" t="s">
        <v>71</v>
      </c>
      <c r="C56" s="73" t="s">
        <v>230</v>
      </c>
      <c r="D56" s="73"/>
      <c r="E56" s="73"/>
      <c r="F56" s="73"/>
      <c r="G56" s="73"/>
      <c r="H56" s="104"/>
      <c r="I56" s="4" t="s">
        <v>231</v>
      </c>
      <c r="M56"/>
    </row>
    <row r="57" spans="1:16">
      <c r="A57" s="71">
        <v>3</v>
      </c>
      <c r="B57" s="72" t="s">
        <v>71</v>
      </c>
      <c r="C57" s="73" t="s">
        <v>210</v>
      </c>
      <c r="D57" s="73"/>
      <c r="E57" s="73"/>
      <c r="F57" s="73"/>
      <c r="G57" s="73"/>
      <c r="H57" s="104" t="s">
        <v>211</v>
      </c>
      <c r="I57" s="4" t="s">
        <v>233</v>
      </c>
      <c r="M57"/>
    </row>
    <row r="58" spans="1:16">
      <c r="A58" s="71">
        <v>3</v>
      </c>
      <c r="B58" s="72" t="s">
        <v>71</v>
      </c>
      <c r="C58" s="73" t="s">
        <v>209</v>
      </c>
      <c r="D58" s="73"/>
      <c r="E58" s="73"/>
      <c r="F58" s="73"/>
      <c r="G58" s="73" t="s">
        <v>200</v>
      </c>
      <c r="H58" s="104" t="s">
        <v>198</v>
      </c>
      <c r="I58" s="4" t="s">
        <v>236</v>
      </c>
      <c r="M58"/>
    </row>
    <row r="59" spans="1:16">
      <c r="A59" s="71">
        <v>3</v>
      </c>
      <c r="B59" s="72" t="s">
        <v>71</v>
      </c>
      <c r="C59" s="73" t="s">
        <v>213</v>
      </c>
      <c r="D59" s="73" t="s">
        <v>208</v>
      </c>
      <c r="E59" s="73"/>
      <c r="F59" s="73"/>
      <c r="G59" s="73"/>
      <c r="H59" s="104" t="s">
        <v>212</v>
      </c>
      <c r="I59" s="4" t="s">
        <v>237</v>
      </c>
      <c r="M59"/>
    </row>
    <row r="60" spans="1:16">
      <c r="A60" s="71">
        <v>3</v>
      </c>
      <c r="B60" s="72" t="s">
        <v>71</v>
      </c>
      <c r="C60" s="73" t="s">
        <v>214</v>
      </c>
      <c r="D60" s="73"/>
      <c r="E60" s="73"/>
      <c r="F60" s="73"/>
      <c r="G60" s="73"/>
      <c r="H60" s="104"/>
      <c r="I60" s="4" t="s">
        <v>238</v>
      </c>
      <c r="M60"/>
    </row>
    <row r="61" spans="1:16">
      <c r="A61" s="71">
        <v>3</v>
      </c>
      <c r="B61" s="72" t="s">
        <v>71</v>
      </c>
      <c r="C61" s="73" t="s">
        <v>215</v>
      </c>
      <c r="D61" s="73" t="s">
        <v>217</v>
      </c>
      <c r="E61" s="73"/>
      <c r="F61" s="73" t="s">
        <v>241</v>
      </c>
      <c r="G61" s="73" t="s">
        <v>216</v>
      </c>
      <c r="H61" s="106"/>
      <c r="I61" s="4" t="s">
        <v>239</v>
      </c>
      <c r="M61"/>
    </row>
    <row r="62" spans="1:16" s="111" customFormat="1">
      <c r="A62" s="71">
        <v>3</v>
      </c>
      <c r="B62" s="72" t="s">
        <v>71</v>
      </c>
      <c r="C62" s="108" t="s">
        <v>243</v>
      </c>
      <c r="D62" s="108"/>
      <c r="E62" s="108"/>
      <c r="F62" s="108"/>
      <c r="G62" s="108"/>
      <c r="H62" s="109" t="s">
        <v>244</v>
      </c>
      <c r="I62" s="110" t="s">
        <v>245</v>
      </c>
      <c r="J62" s="110"/>
      <c r="K62" s="110"/>
      <c r="L62" s="110"/>
      <c r="M62"/>
      <c r="N62"/>
      <c r="O62"/>
      <c r="P62"/>
    </row>
    <row r="63" spans="1:16">
      <c r="A63" s="71">
        <v>3</v>
      </c>
      <c r="B63" s="72" t="s">
        <v>199</v>
      </c>
      <c r="C63" s="73"/>
      <c r="D63" s="73"/>
      <c r="E63" s="73"/>
      <c r="F63" s="73"/>
      <c r="G63" s="73" t="s">
        <v>201</v>
      </c>
      <c r="H63" s="105" t="s">
        <v>203</v>
      </c>
      <c r="I63" s="4" t="s">
        <v>242</v>
      </c>
      <c r="M63"/>
    </row>
    <row r="64" spans="1:16" ht="16" thickBot="1">
      <c r="A64" s="74"/>
      <c r="B64" s="75"/>
      <c r="C64" s="76"/>
      <c r="D64" s="76"/>
      <c r="E64" s="76"/>
      <c r="F64" s="76"/>
      <c r="G64" s="76"/>
      <c r="H64" s="107"/>
      <c r="M64"/>
    </row>
    <row r="65" spans="1:13" ht="25" customHeight="1" thickTop="1" thickBot="1">
      <c r="M65"/>
    </row>
    <row r="66" spans="1:13" ht="16" thickTop="1">
      <c r="C66" s="101"/>
      <c r="D66" s="1063" t="s">
        <v>229</v>
      </c>
      <c r="E66" s="1063"/>
      <c r="F66" s="1064"/>
      <c r="G66"/>
      <c r="H66"/>
      <c r="I66"/>
      <c r="J66"/>
      <c r="K66"/>
      <c r="L66"/>
      <c r="M66"/>
    </row>
    <row r="67" spans="1:13" ht="16" thickBot="1">
      <c r="C67" s="100"/>
      <c r="D67" s="8" t="s">
        <v>224</v>
      </c>
      <c r="E67" s="8" t="s">
        <v>225</v>
      </c>
      <c r="F67" s="9" t="s">
        <v>226</v>
      </c>
      <c r="G67"/>
      <c r="H67"/>
      <c r="I67"/>
      <c r="J67"/>
      <c r="K67"/>
      <c r="L67"/>
      <c r="M67"/>
    </row>
    <row r="68" spans="1:13">
      <c r="C68" s="94" t="s">
        <v>227</v>
      </c>
      <c r="D68" s="95">
        <f>12.5/277.778</f>
        <v>4.49999640000288E-2</v>
      </c>
      <c r="E68" s="95">
        <f>18/277.778</f>
        <v>6.4799948160041462E-2</v>
      </c>
      <c r="F68" s="96">
        <f>265/3500</f>
        <v>7.571428571428572E-2</v>
      </c>
      <c r="G68"/>
      <c r="H68"/>
      <c r="I68"/>
      <c r="J68"/>
      <c r="K68"/>
      <c r="L68"/>
      <c r="M68"/>
    </row>
    <row r="69" spans="1:13" ht="16" thickBot="1">
      <c r="C69" s="97" t="s">
        <v>228</v>
      </c>
      <c r="D69" s="98">
        <f>350/5300</f>
        <v>6.6037735849056603E-2</v>
      </c>
      <c r="E69" s="98">
        <v>8.5000000000000006E-2</v>
      </c>
      <c r="F69" s="99">
        <v>0.115</v>
      </c>
      <c r="G69"/>
      <c r="H69"/>
      <c r="I69"/>
      <c r="J69"/>
      <c r="K69"/>
      <c r="L69"/>
      <c r="M69"/>
    </row>
    <row r="70" spans="1:13" ht="16" thickTop="1">
      <c r="D70" s="91" t="s">
        <v>247</v>
      </c>
      <c r="E70" s="91"/>
      <c r="F70" s="91"/>
      <c r="G70" s="24"/>
      <c r="H70"/>
      <c r="I70"/>
      <c r="J70"/>
      <c r="K70"/>
      <c r="L70"/>
      <c r="M70"/>
    </row>
    <row r="71" spans="1:13">
      <c r="D71" s="91"/>
      <c r="E71" s="91"/>
      <c r="F71" s="91"/>
      <c r="G71" s="24"/>
      <c r="H71"/>
      <c r="I71"/>
      <c r="J71"/>
      <c r="K71"/>
      <c r="L71"/>
      <c r="M71"/>
    </row>
    <row r="72" spans="1:13">
      <c r="A72" s="4"/>
      <c r="J72"/>
      <c r="K72"/>
      <c r="L72"/>
      <c r="M72"/>
    </row>
    <row r="73" spans="1:13" ht="16" thickBot="1">
      <c r="A73" s="4"/>
      <c r="J73"/>
      <c r="K73"/>
      <c r="L73"/>
      <c r="M73"/>
    </row>
    <row r="74" spans="1:13" ht="22" thickTop="1" thickBot="1">
      <c r="A74" s="1041" t="s">
        <v>289</v>
      </c>
      <c r="B74" s="1042"/>
      <c r="C74" s="1042"/>
      <c r="D74" s="1043"/>
      <c r="E74" s="577"/>
      <c r="J74"/>
      <c r="K74"/>
      <c r="L74"/>
      <c r="M74"/>
    </row>
    <row r="75" spans="1:13" ht="36" customHeight="1">
      <c r="A75" s="1039" t="s">
        <v>33</v>
      </c>
      <c r="B75" s="1059" t="s">
        <v>26</v>
      </c>
      <c r="C75" s="1037" t="s">
        <v>288</v>
      </c>
      <c r="D75" s="1061" t="s">
        <v>197</v>
      </c>
      <c r="F75"/>
      <c r="G75"/>
      <c r="H75"/>
      <c r="I75"/>
      <c r="J75"/>
      <c r="K75"/>
      <c r="L75"/>
      <c r="M75"/>
    </row>
    <row r="76" spans="1:13" ht="48" customHeight="1" thickBot="1">
      <c r="A76" s="1040"/>
      <c r="B76" s="1060"/>
      <c r="C76" s="1038"/>
      <c r="D76" s="1062"/>
      <c r="E76" s="305"/>
      <c r="F76"/>
      <c r="G76"/>
      <c r="H76"/>
      <c r="I76"/>
      <c r="J76"/>
      <c r="K76"/>
      <c r="L76"/>
      <c r="M76"/>
    </row>
    <row r="77" spans="1:13">
      <c r="A77" s="582">
        <v>1</v>
      </c>
      <c r="B77" s="583" t="s">
        <v>53</v>
      </c>
      <c r="C77" s="55">
        <v>0.41620000000000001</v>
      </c>
      <c r="D77" s="639">
        <f t="shared" ref="D77:D115" si="2">C77*0.6</f>
        <v>0.24972</v>
      </c>
      <c r="E77" s="306"/>
      <c r="F77"/>
      <c r="G77"/>
      <c r="H77"/>
      <c r="I77"/>
      <c r="J77"/>
      <c r="K77"/>
      <c r="L77"/>
      <c r="M77"/>
    </row>
    <row r="78" spans="1:13">
      <c r="A78" s="550">
        <v>1</v>
      </c>
      <c r="B78" s="579" t="s">
        <v>54</v>
      </c>
      <c r="C78" s="22">
        <v>0.32640000000000002</v>
      </c>
      <c r="D78" s="640">
        <f t="shared" si="2"/>
        <v>0.19584000000000001</v>
      </c>
      <c r="E78" s="306"/>
      <c r="F78" s="4"/>
      <c r="I78"/>
      <c r="J78"/>
      <c r="K78"/>
      <c r="L78"/>
      <c r="M78"/>
    </row>
    <row r="79" spans="1:13">
      <c r="A79" s="550">
        <v>1</v>
      </c>
      <c r="B79" s="579" t="s">
        <v>55</v>
      </c>
      <c r="C79" s="22">
        <v>0.29549999999999998</v>
      </c>
      <c r="D79" s="640">
        <f t="shared" si="2"/>
        <v>0.17729999999999999</v>
      </c>
      <c r="E79" s="306"/>
      <c r="F79" s="4"/>
      <c r="I79"/>
      <c r="J79"/>
      <c r="K79"/>
      <c r="L79"/>
      <c r="M79"/>
    </row>
    <row r="80" spans="1:13">
      <c r="A80" s="550">
        <v>1</v>
      </c>
      <c r="B80" s="579" t="s">
        <v>56</v>
      </c>
      <c r="C80" s="22">
        <v>0.28770000000000001</v>
      </c>
      <c r="D80" s="640">
        <f t="shared" si="2"/>
        <v>0.17262</v>
      </c>
      <c r="E80" s="306"/>
      <c r="F80" s="4"/>
      <c r="I80"/>
      <c r="J80"/>
      <c r="K80"/>
      <c r="L80"/>
      <c r="M80"/>
    </row>
    <row r="81" spans="1:13">
      <c r="A81" s="550">
        <v>1</v>
      </c>
      <c r="B81" s="579" t="s">
        <v>380</v>
      </c>
      <c r="C81" s="22">
        <v>0.31319999999999998</v>
      </c>
      <c r="D81" s="640">
        <f t="shared" si="2"/>
        <v>0.18791999999999998</v>
      </c>
      <c r="E81" s="306"/>
      <c r="F81" s="4"/>
      <c r="I81"/>
      <c r="J81"/>
      <c r="K81"/>
      <c r="L81"/>
      <c r="M81"/>
    </row>
    <row r="82" spans="1:13">
      <c r="A82" s="550">
        <v>1</v>
      </c>
      <c r="B82" s="579" t="s">
        <v>48</v>
      </c>
      <c r="C82" s="22">
        <v>0.32690000000000002</v>
      </c>
      <c r="D82" s="640">
        <f t="shared" si="2"/>
        <v>0.19614000000000001</v>
      </c>
      <c r="E82" s="306"/>
      <c r="F82" s="4"/>
      <c r="I82"/>
      <c r="J82"/>
      <c r="K82"/>
      <c r="L82"/>
      <c r="M82"/>
    </row>
    <row r="83" spans="1:13">
      <c r="A83" s="550">
        <v>1</v>
      </c>
      <c r="B83" s="579" t="s">
        <v>43</v>
      </c>
      <c r="C83" s="22">
        <v>0.3332</v>
      </c>
      <c r="D83" s="640">
        <f t="shared" si="2"/>
        <v>0.19991999999999999</v>
      </c>
      <c r="E83" s="306"/>
      <c r="F83"/>
      <c r="G83"/>
      <c r="H83"/>
      <c r="I83"/>
      <c r="J83"/>
      <c r="K83"/>
      <c r="L83"/>
      <c r="M83"/>
    </row>
    <row r="84" spans="1:13" ht="16" thickBot="1">
      <c r="A84" s="15">
        <v>1</v>
      </c>
      <c r="B84" s="584" t="s">
        <v>45</v>
      </c>
      <c r="C84" s="585">
        <v>0.3075</v>
      </c>
      <c r="D84" s="641">
        <f t="shared" si="2"/>
        <v>0.1845</v>
      </c>
      <c r="E84" s="306"/>
      <c r="F84"/>
      <c r="G84"/>
      <c r="H84"/>
      <c r="I84"/>
      <c r="J84"/>
      <c r="K84"/>
      <c r="L84"/>
      <c r="M84"/>
    </row>
    <row r="85" spans="1:13" ht="16" thickTop="1">
      <c r="A85" s="14">
        <v>2</v>
      </c>
      <c r="B85" s="579" t="s">
        <v>42</v>
      </c>
      <c r="C85" s="22">
        <v>0.30620000000000003</v>
      </c>
      <c r="D85" s="640">
        <f t="shared" si="2"/>
        <v>0.18372000000000002</v>
      </c>
      <c r="E85" s="306"/>
      <c r="F85" s="4"/>
      <c r="I85"/>
      <c r="J85"/>
      <c r="K85"/>
      <c r="L85"/>
      <c r="M85"/>
    </row>
    <row r="86" spans="1:13" ht="15" customHeight="1">
      <c r="A86" s="14">
        <v>2</v>
      </c>
      <c r="B86" s="580" t="s">
        <v>57</v>
      </c>
      <c r="C86" s="56">
        <v>0.29310000000000003</v>
      </c>
      <c r="D86" s="640">
        <f t="shared" si="2"/>
        <v>0.17586000000000002</v>
      </c>
      <c r="E86" s="306"/>
      <c r="F86" s="4"/>
      <c r="I86"/>
      <c r="J86"/>
      <c r="K86"/>
      <c r="L86"/>
      <c r="M86"/>
    </row>
    <row r="87" spans="1:13" ht="15" customHeight="1">
      <c r="A87" s="14">
        <v>2</v>
      </c>
      <c r="B87" s="579" t="s">
        <v>59</v>
      </c>
      <c r="C87" s="22">
        <v>0.33510000000000001</v>
      </c>
      <c r="D87" s="640">
        <f t="shared" si="2"/>
        <v>0.20105999999999999</v>
      </c>
      <c r="E87" s="306"/>
      <c r="F87"/>
      <c r="G87"/>
      <c r="H87"/>
      <c r="I87"/>
      <c r="J87"/>
      <c r="K87"/>
      <c r="L87"/>
      <c r="M87"/>
    </row>
    <row r="88" spans="1:13">
      <c r="A88" s="14">
        <v>2</v>
      </c>
      <c r="B88" s="579" t="s">
        <v>41</v>
      </c>
      <c r="C88" s="22">
        <v>0.34029999999999999</v>
      </c>
      <c r="D88" s="640">
        <f t="shared" si="2"/>
        <v>0.20418</v>
      </c>
      <c r="E88" s="4"/>
      <c r="F88" s="4"/>
      <c r="J88"/>
      <c r="K88"/>
      <c r="L88"/>
      <c r="M88"/>
    </row>
    <row r="89" spans="1:13">
      <c r="A89" s="14">
        <v>2</v>
      </c>
      <c r="B89" s="579" t="s">
        <v>60</v>
      </c>
      <c r="C89" s="22">
        <v>0.31090000000000001</v>
      </c>
      <c r="D89" s="640">
        <f t="shared" si="2"/>
        <v>0.18654000000000001</v>
      </c>
      <c r="E89" s="4"/>
      <c r="F89" s="4"/>
      <c r="J89"/>
      <c r="K89"/>
      <c r="L89"/>
      <c r="M89"/>
    </row>
    <row r="90" spans="1:13">
      <c r="A90" s="14">
        <v>2</v>
      </c>
      <c r="B90" s="578" t="s">
        <v>61</v>
      </c>
      <c r="C90" s="57">
        <v>0.38090000000000002</v>
      </c>
      <c r="D90" s="640">
        <f t="shared" si="2"/>
        <v>0.22853999999999999</v>
      </c>
      <c r="E90" s="4"/>
      <c r="F90" s="4"/>
      <c r="J90"/>
      <c r="K90"/>
      <c r="L90"/>
      <c r="M90"/>
    </row>
    <row r="91" spans="1:13">
      <c r="A91" s="14">
        <v>2</v>
      </c>
      <c r="B91" s="579" t="s">
        <v>58</v>
      </c>
      <c r="C91" s="22">
        <v>0.30320000000000003</v>
      </c>
      <c r="D91" s="640">
        <f t="shared" si="2"/>
        <v>0.18192</v>
      </c>
      <c r="E91" s="4"/>
      <c r="F91" s="4"/>
      <c r="J91"/>
      <c r="K91"/>
      <c r="L91"/>
      <c r="M91"/>
    </row>
    <row r="92" spans="1:13" ht="16" thickBot="1">
      <c r="A92" s="14">
        <v>2</v>
      </c>
      <c r="B92" s="579" t="s">
        <v>62</v>
      </c>
      <c r="C92" s="22">
        <v>0.31280000000000002</v>
      </c>
      <c r="D92" s="640">
        <f t="shared" si="2"/>
        <v>0.18768000000000001</v>
      </c>
      <c r="E92" s="4"/>
      <c r="F92" s="4"/>
      <c r="J92"/>
      <c r="K92"/>
      <c r="L92"/>
      <c r="M92"/>
    </row>
    <row r="93" spans="1:13" ht="16" thickTop="1">
      <c r="A93" s="552">
        <v>3</v>
      </c>
      <c r="B93" s="591" t="s">
        <v>63</v>
      </c>
      <c r="C93" s="588">
        <v>0.33929999999999999</v>
      </c>
      <c r="D93" s="642">
        <f t="shared" si="2"/>
        <v>0.20357999999999998</v>
      </c>
      <c r="E93" s="4"/>
      <c r="F93" s="4"/>
      <c r="J93"/>
      <c r="K93"/>
      <c r="L93"/>
      <c r="M93"/>
    </row>
    <row r="94" spans="1:13">
      <c r="A94" s="550">
        <v>3</v>
      </c>
      <c r="B94" s="579" t="s">
        <v>49</v>
      </c>
      <c r="C94" s="22">
        <v>0.3019</v>
      </c>
      <c r="D94" s="640">
        <f t="shared" si="2"/>
        <v>0.18114</v>
      </c>
      <c r="E94" s="4"/>
      <c r="F94" s="4"/>
      <c r="J94"/>
      <c r="K94"/>
      <c r="L94"/>
      <c r="M94"/>
    </row>
    <row r="95" spans="1:13">
      <c r="A95" s="550">
        <v>3</v>
      </c>
      <c r="B95" s="580" t="s">
        <v>64</v>
      </c>
      <c r="C95" s="56">
        <v>0.29770000000000002</v>
      </c>
      <c r="D95" s="640">
        <f t="shared" si="2"/>
        <v>0.17862</v>
      </c>
      <c r="E95" s="4"/>
      <c r="F95" s="4"/>
      <c r="J95"/>
      <c r="K95"/>
      <c r="L95"/>
      <c r="M95"/>
    </row>
    <row r="96" spans="1:13">
      <c r="A96" s="550">
        <v>3</v>
      </c>
      <c r="B96" s="580" t="s">
        <v>31</v>
      </c>
      <c r="C96" s="56">
        <v>0.28939999999999999</v>
      </c>
      <c r="D96" s="640">
        <f t="shared" si="2"/>
        <v>0.17363999999999999</v>
      </c>
      <c r="E96" s="4"/>
      <c r="F96" s="4"/>
      <c r="J96"/>
      <c r="K96"/>
      <c r="L96"/>
      <c r="M96"/>
    </row>
    <row r="97" spans="1:13">
      <c r="A97" s="550">
        <v>3</v>
      </c>
      <c r="B97" s="21" t="s">
        <v>65</v>
      </c>
      <c r="C97" s="22">
        <v>0.30399999999999999</v>
      </c>
      <c r="D97" s="640">
        <f t="shared" si="2"/>
        <v>0.18239999999999998</v>
      </c>
      <c r="E97" s="4"/>
      <c r="F97" s="4"/>
      <c r="J97"/>
      <c r="K97"/>
      <c r="L97"/>
      <c r="M97"/>
    </row>
    <row r="98" spans="1:13">
      <c r="A98" s="550">
        <v>3</v>
      </c>
      <c r="B98" s="21" t="s">
        <v>66</v>
      </c>
      <c r="C98" s="22">
        <v>0.28839999999999999</v>
      </c>
      <c r="D98" s="640">
        <f t="shared" si="2"/>
        <v>0.17304</v>
      </c>
      <c r="E98" s="4"/>
      <c r="F98" s="4"/>
      <c r="J98"/>
      <c r="K98"/>
      <c r="L98"/>
      <c r="M98"/>
    </row>
    <row r="99" spans="1:13" ht="16" thickBot="1">
      <c r="A99" s="15">
        <v>3</v>
      </c>
      <c r="B99" s="586" t="s">
        <v>391</v>
      </c>
      <c r="C99" s="585">
        <v>0.36330000000000001</v>
      </c>
      <c r="D99" s="641">
        <f t="shared" si="2"/>
        <v>0.21798000000000001</v>
      </c>
      <c r="E99" s="4"/>
      <c r="F99" s="4"/>
      <c r="J99"/>
      <c r="K99"/>
      <c r="L99"/>
      <c r="M99"/>
    </row>
    <row r="100" spans="1:13" ht="16" thickTop="1">
      <c r="A100" s="14">
        <v>4</v>
      </c>
      <c r="B100" s="578" t="s">
        <v>44</v>
      </c>
      <c r="C100" s="57">
        <v>0.32740000000000002</v>
      </c>
      <c r="D100" s="640">
        <f t="shared" si="2"/>
        <v>0.19644</v>
      </c>
      <c r="E100" s="4"/>
      <c r="F100"/>
      <c r="G100"/>
      <c r="H100"/>
      <c r="I100"/>
      <c r="J100"/>
      <c r="K100"/>
      <c r="L100"/>
      <c r="M100"/>
    </row>
    <row r="101" spans="1:13">
      <c r="A101" s="14">
        <v>4</v>
      </c>
      <c r="B101" s="579" t="s">
        <v>46</v>
      </c>
      <c r="C101" s="22">
        <v>0.32800000000000001</v>
      </c>
      <c r="D101" s="640">
        <f t="shared" si="2"/>
        <v>0.1968</v>
      </c>
      <c r="E101" s="4"/>
      <c r="F101"/>
      <c r="G101"/>
      <c r="H101"/>
      <c r="I101"/>
      <c r="J101"/>
      <c r="K101"/>
      <c r="L101"/>
      <c r="M101"/>
    </row>
    <row r="102" spans="1:13">
      <c r="A102" s="14">
        <v>4</v>
      </c>
      <c r="B102" s="19" t="s">
        <v>67</v>
      </c>
      <c r="C102" s="57">
        <v>0.3952</v>
      </c>
      <c r="D102" s="640">
        <f t="shared" si="2"/>
        <v>0.23712</v>
      </c>
      <c r="E102" s="4"/>
      <c r="F102" s="4"/>
      <c r="J102"/>
      <c r="K102"/>
      <c r="L102"/>
      <c r="M102"/>
    </row>
    <row r="103" spans="1:13" ht="16" thickBot="1">
      <c r="A103" s="14">
        <v>4</v>
      </c>
      <c r="B103" s="21" t="s">
        <v>68</v>
      </c>
      <c r="C103" s="22">
        <v>0.36259999999999998</v>
      </c>
      <c r="D103" s="640">
        <f t="shared" si="2"/>
        <v>0.21755999999999998</v>
      </c>
      <c r="E103" s="4"/>
      <c r="F103" s="4"/>
      <c r="J103"/>
      <c r="K103"/>
      <c r="L103"/>
      <c r="M103"/>
    </row>
    <row r="104" spans="1:13" ht="16" thickTop="1">
      <c r="A104" s="552">
        <v>5</v>
      </c>
      <c r="B104" s="587" t="s">
        <v>69</v>
      </c>
      <c r="C104" s="588">
        <v>0.29520000000000002</v>
      </c>
      <c r="D104" s="642">
        <f t="shared" si="2"/>
        <v>0.17712</v>
      </c>
      <c r="E104" s="4"/>
      <c r="F104" s="4"/>
      <c r="J104"/>
      <c r="K104"/>
      <c r="L104"/>
      <c r="M104"/>
    </row>
    <row r="105" spans="1:13">
      <c r="A105" s="550">
        <v>5</v>
      </c>
      <c r="B105" s="20" t="s">
        <v>70</v>
      </c>
      <c r="C105" s="56">
        <v>0.2918</v>
      </c>
      <c r="D105" s="640">
        <f t="shared" si="2"/>
        <v>0.17507999999999999</v>
      </c>
      <c r="E105" s="4"/>
      <c r="F105" s="4"/>
      <c r="J105"/>
      <c r="K105"/>
      <c r="L105"/>
      <c r="M105"/>
    </row>
    <row r="106" spans="1:13">
      <c r="A106" s="550">
        <v>5</v>
      </c>
      <c r="B106" s="21" t="s">
        <v>71</v>
      </c>
      <c r="C106" s="22">
        <v>0.28820000000000001</v>
      </c>
      <c r="D106" s="640">
        <f t="shared" si="2"/>
        <v>0.17291999999999999</v>
      </c>
      <c r="E106" s="4"/>
      <c r="F106" s="4"/>
      <c r="J106"/>
      <c r="K106"/>
      <c r="L106"/>
      <c r="M106"/>
    </row>
    <row r="107" spans="1:13">
      <c r="A107" s="550">
        <v>5</v>
      </c>
      <c r="B107" s="21" t="s">
        <v>72</v>
      </c>
      <c r="C107" s="22">
        <v>0.28089999999999998</v>
      </c>
      <c r="D107" s="640">
        <f t="shared" si="2"/>
        <v>0.16854</v>
      </c>
      <c r="E107" s="4"/>
      <c r="F107" s="4"/>
      <c r="J107"/>
      <c r="K107"/>
      <c r="L107"/>
      <c r="M107"/>
    </row>
    <row r="108" spans="1:13">
      <c r="A108" s="550">
        <v>5</v>
      </c>
      <c r="B108" s="21" t="s">
        <v>73</v>
      </c>
      <c r="C108" s="22">
        <v>0.31140000000000001</v>
      </c>
      <c r="D108" s="640">
        <f t="shared" si="2"/>
        <v>0.18684000000000001</v>
      </c>
      <c r="E108" s="4"/>
      <c r="F108" s="4"/>
      <c r="J108"/>
      <c r="K108"/>
      <c r="L108"/>
      <c r="M108"/>
    </row>
    <row r="109" spans="1:13" ht="16" thickBot="1">
      <c r="A109" s="15">
        <v>5</v>
      </c>
      <c r="B109" s="589" t="s">
        <v>75</v>
      </c>
      <c r="C109" s="590">
        <v>0.26200000000000001</v>
      </c>
      <c r="D109" s="641">
        <f t="shared" si="2"/>
        <v>0.15720000000000001</v>
      </c>
      <c r="E109" s="4"/>
      <c r="F109" s="4"/>
      <c r="I109"/>
      <c r="J109"/>
      <c r="K109"/>
      <c r="L109"/>
      <c r="M109"/>
    </row>
    <row r="110" spans="1:13" ht="16" thickTop="1">
      <c r="A110" s="14">
        <v>6</v>
      </c>
      <c r="B110" s="20" t="s">
        <v>74</v>
      </c>
      <c r="C110" s="56">
        <v>0.29520000000000002</v>
      </c>
      <c r="D110" s="640">
        <f t="shared" si="2"/>
        <v>0.17712</v>
      </c>
      <c r="E110" s="4"/>
      <c r="F110" s="4"/>
      <c r="J110"/>
      <c r="K110"/>
      <c r="L110"/>
      <c r="M110"/>
    </row>
    <row r="111" spans="1:13">
      <c r="A111" s="14">
        <v>6</v>
      </c>
      <c r="B111" s="21" t="s">
        <v>76</v>
      </c>
      <c r="C111" s="22">
        <v>0.2828</v>
      </c>
      <c r="D111" s="640">
        <f t="shared" si="2"/>
        <v>0.16968</v>
      </c>
      <c r="E111" s="4"/>
      <c r="F111" s="4"/>
      <c r="I111"/>
      <c r="J111"/>
      <c r="K111"/>
      <c r="L111"/>
      <c r="M111"/>
    </row>
    <row r="112" spans="1:13">
      <c r="A112" s="14">
        <v>6</v>
      </c>
      <c r="B112" s="21" t="s">
        <v>77</v>
      </c>
      <c r="C112" s="22">
        <v>0.32369999999999999</v>
      </c>
      <c r="D112" s="640">
        <f t="shared" si="2"/>
        <v>0.19421999999999998</v>
      </c>
      <c r="E112" s="4"/>
      <c r="F112" s="4"/>
      <c r="I112"/>
      <c r="J112"/>
      <c r="K112"/>
      <c r="L112"/>
      <c r="M112"/>
    </row>
    <row r="113" spans="1:12">
      <c r="A113" s="14">
        <v>6</v>
      </c>
      <c r="B113" s="19" t="s">
        <v>78</v>
      </c>
      <c r="C113" s="57">
        <v>0.4108</v>
      </c>
      <c r="D113" s="640">
        <f t="shared" si="2"/>
        <v>0.24647999999999998</v>
      </c>
      <c r="E113" s="4"/>
      <c r="F113" s="4"/>
      <c r="I113"/>
      <c r="J113"/>
      <c r="K113"/>
      <c r="L113"/>
    </row>
    <row r="114" spans="1:12">
      <c r="A114" s="14">
        <v>6</v>
      </c>
      <c r="B114" s="21" t="s">
        <v>79</v>
      </c>
      <c r="C114" s="22">
        <v>0.32700000000000001</v>
      </c>
      <c r="D114" s="640">
        <f t="shared" si="2"/>
        <v>0.19620000000000001</v>
      </c>
      <c r="E114" s="4"/>
      <c r="F114" s="4"/>
      <c r="I114"/>
      <c r="J114"/>
      <c r="K114"/>
      <c r="L114"/>
    </row>
    <row r="115" spans="1:12" ht="16" thickBot="1">
      <c r="A115" s="15">
        <v>6</v>
      </c>
      <c r="B115" s="589" t="s">
        <v>80</v>
      </c>
      <c r="C115" s="590">
        <v>0.27939999999999998</v>
      </c>
      <c r="D115" s="641">
        <f t="shared" si="2"/>
        <v>0.16763999999999998</v>
      </c>
      <c r="E115" s="4"/>
      <c r="F115" s="4"/>
      <c r="I115"/>
      <c r="J115"/>
      <c r="K115"/>
      <c r="L115"/>
    </row>
    <row r="116" spans="1:12" ht="19" thickTop="1">
      <c r="A116" s="39" t="s">
        <v>379</v>
      </c>
      <c r="C116" s="23"/>
      <c r="J116"/>
      <c r="K116"/>
      <c r="L116"/>
    </row>
    <row r="117" spans="1:12" ht="18">
      <c r="A117" s="1" t="s">
        <v>378</v>
      </c>
      <c r="J117"/>
      <c r="K117"/>
      <c r="L117"/>
    </row>
    <row r="118" spans="1:12">
      <c r="A118" s="27"/>
      <c r="B118" s="241"/>
      <c r="J118"/>
      <c r="K118"/>
      <c r="L118"/>
    </row>
    <row r="119" spans="1:12">
      <c r="J119"/>
      <c r="K119"/>
      <c r="L119"/>
    </row>
    <row r="120" spans="1:12">
      <c r="H120"/>
      <c r="I120"/>
      <c r="J120"/>
      <c r="K120"/>
      <c r="L120"/>
    </row>
    <row r="121" spans="1:12">
      <c r="H121"/>
      <c r="I121"/>
      <c r="J121"/>
      <c r="K121"/>
      <c r="L121"/>
    </row>
  </sheetData>
  <sheetProtection selectLockedCells="1" selectUnlockedCells="1"/>
  <mergeCells count="19">
    <mergeCell ref="B3:B10"/>
    <mergeCell ref="B11:B18"/>
    <mergeCell ref="B19:B25"/>
    <mergeCell ref="B1:C2"/>
    <mergeCell ref="I1:P1"/>
    <mergeCell ref="E1:E2"/>
    <mergeCell ref="F1:F2"/>
    <mergeCell ref="D1:D2"/>
    <mergeCell ref="C75:C76"/>
    <mergeCell ref="A75:A76"/>
    <mergeCell ref="A74:D74"/>
    <mergeCell ref="B26:B29"/>
    <mergeCell ref="B30:B35"/>
    <mergeCell ref="B36:B41"/>
    <mergeCell ref="A51:H51"/>
    <mergeCell ref="D48:F49"/>
    <mergeCell ref="B75:B76"/>
    <mergeCell ref="D75:D76"/>
    <mergeCell ref="D66:F66"/>
  </mergeCells>
  <phoneticPr fontId="28" type="noConversion"/>
  <pageMargins left="0.75000000000000011" right="0.75000000000000011" top="0.20833333333333334" bottom="0.29166666666666669" header="0.125" footer="0.19444444444444445"/>
  <pageSetup paperSize="9" orientation="landscape"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A1:E42"/>
  <sheetViews>
    <sheetView workbookViewId="0">
      <selection activeCell="G18" sqref="G18"/>
    </sheetView>
  </sheetViews>
  <sheetFormatPr baseColWidth="10" defaultRowHeight="15" x14ac:dyDescent="0"/>
  <cols>
    <col min="1" max="2" width="21.33203125" customWidth="1"/>
    <col min="3" max="5" width="14.1640625" customWidth="1"/>
  </cols>
  <sheetData>
    <row r="1" spans="1:5" ht="16" customHeight="1" thickTop="1">
      <c r="A1" s="1086" t="s">
        <v>290</v>
      </c>
      <c r="B1" s="1087"/>
      <c r="C1" s="1075" t="s">
        <v>408</v>
      </c>
      <c r="D1" s="1075" t="s">
        <v>409</v>
      </c>
      <c r="E1" s="1077" t="s">
        <v>410</v>
      </c>
    </row>
    <row r="2" spans="1:5" ht="16" thickBot="1">
      <c r="A2" s="1088"/>
      <c r="B2" s="1049"/>
      <c r="C2" s="1082"/>
      <c r="D2" s="1082"/>
      <c r="E2" s="1081"/>
    </row>
    <row r="3" spans="1:5" ht="16" customHeight="1" thickTop="1">
      <c r="A3" s="1089" t="s">
        <v>383</v>
      </c>
      <c r="B3" s="63" t="s">
        <v>382</v>
      </c>
      <c r="C3" s="620">
        <v>20</v>
      </c>
      <c r="D3" s="610">
        <v>10</v>
      </c>
      <c r="E3" s="624">
        <f>C3+D3</f>
        <v>30</v>
      </c>
    </row>
    <row r="4" spans="1:5">
      <c r="A4" s="1090"/>
      <c r="B4" s="65" t="s">
        <v>204</v>
      </c>
      <c r="C4" s="613">
        <v>20</v>
      </c>
      <c r="D4" s="611">
        <v>10</v>
      </c>
      <c r="E4" s="625">
        <f t="shared" ref="E4:E41" si="0">C4+D4</f>
        <v>30</v>
      </c>
    </row>
    <row r="5" spans="1:5">
      <c r="A5" s="1090"/>
      <c r="B5" s="65" t="s">
        <v>395</v>
      </c>
      <c r="C5" s="613">
        <v>20</v>
      </c>
      <c r="D5" s="612">
        <v>10</v>
      </c>
      <c r="E5" s="626">
        <f t="shared" si="0"/>
        <v>30</v>
      </c>
    </row>
    <row r="6" spans="1:5" ht="17" customHeight="1">
      <c r="A6" s="1090"/>
      <c r="B6" s="65" t="s">
        <v>396</v>
      </c>
      <c r="C6" s="613">
        <v>20</v>
      </c>
      <c r="D6" s="612">
        <v>10</v>
      </c>
      <c r="E6" s="626">
        <f t="shared" si="0"/>
        <v>30</v>
      </c>
    </row>
    <row r="7" spans="1:5">
      <c r="A7" s="1090"/>
      <c r="B7" s="65" t="s">
        <v>380</v>
      </c>
      <c r="C7" s="613">
        <v>20</v>
      </c>
      <c r="D7" s="612">
        <v>10</v>
      </c>
      <c r="E7" s="626">
        <f t="shared" si="0"/>
        <v>30</v>
      </c>
    </row>
    <row r="8" spans="1:5">
      <c r="A8" s="1090"/>
      <c r="B8" s="65" t="s">
        <v>48</v>
      </c>
      <c r="C8" s="613">
        <v>20</v>
      </c>
      <c r="D8" s="613">
        <v>10</v>
      </c>
      <c r="E8" s="626">
        <f t="shared" si="0"/>
        <v>30</v>
      </c>
    </row>
    <row r="9" spans="1:5">
      <c r="A9" s="1090"/>
      <c r="B9" s="65" t="s">
        <v>43</v>
      </c>
      <c r="C9" s="613">
        <v>30</v>
      </c>
      <c r="D9" s="613">
        <v>12</v>
      </c>
      <c r="E9" s="626">
        <f t="shared" si="0"/>
        <v>42</v>
      </c>
    </row>
    <row r="10" spans="1:5" ht="16" thickBot="1">
      <c r="A10" s="1091"/>
      <c r="B10" s="67" t="s">
        <v>45</v>
      </c>
      <c r="C10" s="621">
        <v>30</v>
      </c>
      <c r="D10" s="614">
        <v>12</v>
      </c>
      <c r="E10" s="627">
        <f t="shared" si="0"/>
        <v>42</v>
      </c>
    </row>
    <row r="11" spans="1:5" ht="16" thickTop="1">
      <c r="A11" s="1092" t="s">
        <v>384</v>
      </c>
      <c r="B11" s="63" t="s">
        <v>42</v>
      </c>
      <c r="C11" s="620">
        <v>30</v>
      </c>
      <c r="D11" s="615">
        <f>D4</f>
        <v>10</v>
      </c>
      <c r="E11" s="624">
        <f t="shared" si="0"/>
        <v>40</v>
      </c>
    </row>
    <row r="12" spans="1:5">
      <c r="A12" s="862"/>
      <c r="B12" s="115" t="s">
        <v>385</v>
      </c>
      <c r="C12" s="613">
        <v>30</v>
      </c>
      <c r="D12" s="612">
        <v>10</v>
      </c>
      <c r="E12" s="626">
        <f t="shared" si="0"/>
        <v>40</v>
      </c>
    </row>
    <row r="13" spans="1:5" ht="16" customHeight="1">
      <c r="A13" s="862"/>
      <c r="B13" s="65" t="s">
        <v>386</v>
      </c>
      <c r="C13" s="613">
        <v>30</v>
      </c>
      <c r="D13" s="612">
        <v>10</v>
      </c>
      <c r="E13" s="626">
        <f t="shared" si="0"/>
        <v>40</v>
      </c>
    </row>
    <row r="14" spans="1:5" ht="16" customHeight="1">
      <c r="A14" s="862"/>
      <c r="B14" s="115" t="s">
        <v>41</v>
      </c>
      <c r="C14" s="613">
        <v>30</v>
      </c>
      <c r="D14" s="612">
        <v>12</v>
      </c>
      <c r="E14" s="626">
        <f t="shared" si="0"/>
        <v>42</v>
      </c>
    </row>
    <row r="15" spans="1:5" ht="16" customHeight="1">
      <c r="A15" s="862"/>
      <c r="B15" s="65" t="s">
        <v>205</v>
      </c>
      <c r="C15" s="613">
        <v>30</v>
      </c>
      <c r="D15" s="616">
        <v>12</v>
      </c>
      <c r="E15" s="626">
        <f t="shared" si="0"/>
        <v>42</v>
      </c>
    </row>
    <row r="16" spans="1:5">
      <c r="A16" s="862"/>
      <c r="B16" s="65" t="s">
        <v>387</v>
      </c>
      <c r="C16" s="613">
        <v>25</v>
      </c>
      <c r="D16" s="612">
        <v>10</v>
      </c>
      <c r="E16" s="626">
        <f t="shared" si="0"/>
        <v>35</v>
      </c>
    </row>
    <row r="17" spans="1:5">
      <c r="A17" s="862"/>
      <c r="B17" s="65" t="s">
        <v>494</v>
      </c>
      <c r="C17" s="613">
        <v>25</v>
      </c>
      <c r="D17" s="612">
        <v>10</v>
      </c>
      <c r="E17" s="625">
        <f t="shared" si="0"/>
        <v>35</v>
      </c>
    </row>
    <row r="18" spans="1:5" ht="16" customHeight="1" thickBot="1">
      <c r="A18" s="1093"/>
      <c r="B18" s="67" t="s">
        <v>47</v>
      </c>
      <c r="C18" s="621">
        <v>25</v>
      </c>
      <c r="D18" s="614">
        <v>10</v>
      </c>
      <c r="E18" s="628">
        <f t="shared" si="0"/>
        <v>35</v>
      </c>
    </row>
    <row r="19" spans="1:5" ht="16" thickTop="1">
      <c r="A19" s="1094" t="s">
        <v>388</v>
      </c>
      <c r="B19" s="63" t="s">
        <v>389</v>
      </c>
      <c r="C19" s="620">
        <v>25</v>
      </c>
      <c r="D19" s="617">
        <v>10</v>
      </c>
      <c r="E19" s="629">
        <f t="shared" si="0"/>
        <v>35</v>
      </c>
    </row>
    <row r="20" spans="1:5" ht="16" customHeight="1">
      <c r="A20" s="1095"/>
      <c r="B20" s="594" t="s">
        <v>397</v>
      </c>
      <c r="C20" s="622">
        <v>25</v>
      </c>
      <c r="D20" s="611">
        <v>10</v>
      </c>
      <c r="E20" s="625">
        <f t="shared" si="0"/>
        <v>35</v>
      </c>
    </row>
    <row r="21" spans="1:5">
      <c r="A21" s="1095"/>
      <c r="B21" s="594" t="s">
        <v>390</v>
      </c>
      <c r="C21" s="622">
        <v>25</v>
      </c>
      <c r="D21" s="611">
        <v>10</v>
      </c>
      <c r="E21" s="625">
        <f t="shared" si="0"/>
        <v>35</v>
      </c>
    </row>
    <row r="22" spans="1:5">
      <c r="A22" s="1095"/>
      <c r="B22" s="65" t="s">
        <v>31</v>
      </c>
      <c r="C22" s="622">
        <v>25</v>
      </c>
      <c r="D22" s="611">
        <v>10</v>
      </c>
      <c r="E22" s="625">
        <f t="shared" si="0"/>
        <v>35</v>
      </c>
    </row>
    <row r="23" spans="1:5">
      <c r="A23" s="1095"/>
      <c r="B23" s="65" t="s">
        <v>65</v>
      </c>
      <c r="C23" s="622">
        <v>30</v>
      </c>
      <c r="D23" s="611">
        <v>10</v>
      </c>
      <c r="E23" s="625">
        <f t="shared" si="0"/>
        <v>40</v>
      </c>
    </row>
    <row r="24" spans="1:5">
      <c r="A24" s="1095"/>
      <c r="B24" s="65" t="s">
        <v>66</v>
      </c>
      <c r="C24" s="616">
        <v>30</v>
      </c>
      <c r="D24" s="611">
        <v>10</v>
      </c>
      <c r="E24" s="625">
        <f t="shared" si="0"/>
        <v>40</v>
      </c>
    </row>
    <row r="25" spans="1:5" ht="16" thickBot="1">
      <c r="A25" s="1096"/>
      <c r="B25" s="67" t="s">
        <v>206</v>
      </c>
      <c r="C25" s="623">
        <v>30</v>
      </c>
      <c r="D25" s="618">
        <v>10</v>
      </c>
      <c r="E25" s="628">
        <f t="shared" si="0"/>
        <v>40</v>
      </c>
    </row>
    <row r="26" spans="1:5" ht="16" thickTop="1">
      <c r="A26" s="1094" t="s">
        <v>392</v>
      </c>
      <c r="B26" s="63" t="s">
        <v>44</v>
      </c>
      <c r="C26" s="615">
        <v>30</v>
      </c>
      <c r="D26" s="619">
        <v>10</v>
      </c>
      <c r="E26" s="629">
        <f t="shared" si="0"/>
        <v>40</v>
      </c>
    </row>
    <row r="27" spans="1:5">
      <c r="A27" s="1090"/>
      <c r="B27" s="65" t="s">
        <v>46</v>
      </c>
      <c r="C27" s="616">
        <v>30</v>
      </c>
      <c r="D27" s="611">
        <v>10</v>
      </c>
      <c r="E27" s="625">
        <f t="shared" si="0"/>
        <v>40</v>
      </c>
    </row>
    <row r="28" spans="1:5">
      <c r="A28" s="1090"/>
      <c r="B28" s="65" t="s">
        <v>67</v>
      </c>
      <c r="C28" s="616">
        <v>35</v>
      </c>
      <c r="D28" s="611">
        <v>10</v>
      </c>
      <c r="E28" s="625">
        <f t="shared" si="0"/>
        <v>45</v>
      </c>
    </row>
    <row r="29" spans="1:5" ht="16" thickBot="1">
      <c r="A29" s="1091"/>
      <c r="B29" s="67" t="s">
        <v>68</v>
      </c>
      <c r="C29" s="623">
        <v>35</v>
      </c>
      <c r="D29" s="618">
        <v>10</v>
      </c>
      <c r="E29" s="628">
        <f t="shared" si="0"/>
        <v>45</v>
      </c>
    </row>
    <row r="30" spans="1:5" ht="16" thickTop="1">
      <c r="A30" s="1083" t="s">
        <v>393</v>
      </c>
      <c r="B30" s="63" t="s">
        <v>69</v>
      </c>
      <c r="C30" s="615">
        <v>35</v>
      </c>
      <c r="D30" s="619">
        <v>10</v>
      </c>
      <c r="E30" s="629">
        <f t="shared" si="0"/>
        <v>45</v>
      </c>
    </row>
    <row r="31" spans="1:5">
      <c r="A31" s="862"/>
      <c r="B31" s="65" t="s">
        <v>70</v>
      </c>
      <c r="C31" s="616">
        <v>35</v>
      </c>
      <c r="D31" s="611">
        <v>10</v>
      </c>
      <c r="E31" s="625">
        <f t="shared" si="0"/>
        <v>45</v>
      </c>
    </row>
    <row r="32" spans="1:5">
      <c r="A32" s="862"/>
      <c r="B32" s="65" t="s">
        <v>71</v>
      </c>
      <c r="C32" s="616">
        <v>35</v>
      </c>
      <c r="D32" s="611">
        <v>10</v>
      </c>
      <c r="E32" s="625">
        <f t="shared" si="0"/>
        <v>45</v>
      </c>
    </row>
    <row r="33" spans="1:5">
      <c r="A33" s="862"/>
      <c r="B33" s="65" t="s">
        <v>72</v>
      </c>
      <c r="C33" s="616">
        <v>35</v>
      </c>
      <c r="D33" s="611">
        <v>10</v>
      </c>
      <c r="E33" s="625">
        <f t="shared" si="0"/>
        <v>45</v>
      </c>
    </row>
    <row r="34" spans="1:5">
      <c r="A34" s="862"/>
      <c r="B34" s="65" t="s">
        <v>73</v>
      </c>
      <c r="C34" s="616">
        <v>35</v>
      </c>
      <c r="D34" s="611">
        <v>10</v>
      </c>
      <c r="E34" s="625">
        <f t="shared" si="0"/>
        <v>45</v>
      </c>
    </row>
    <row r="35" spans="1:5" ht="16" thickBot="1">
      <c r="A35" s="1093"/>
      <c r="B35" s="67" t="s">
        <v>75</v>
      </c>
      <c r="C35" s="623">
        <v>40</v>
      </c>
      <c r="D35" s="618">
        <v>5</v>
      </c>
      <c r="E35" s="628">
        <f t="shared" si="0"/>
        <v>45</v>
      </c>
    </row>
    <row r="36" spans="1:5" ht="16" thickTop="1">
      <c r="A36" s="1083" t="s">
        <v>394</v>
      </c>
      <c r="B36" s="63" t="s">
        <v>74</v>
      </c>
      <c r="C36" s="615">
        <v>40</v>
      </c>
      <c r="D36" s="619">
        <v>5</v>
      </c>
      <c r="E36" s="629">
        <f t="shared" si="0"/>
        <v>45</v>
      </c>
    </row>
    <row r="37" spans="1:5">
      <c r="A37" s="1084"/>
      <c r="B37" s="65" t="s">
        <v>76</v>
      </c>
      <c r="C37" s="616">
        <v>45</v>
      </c>
      <c r="D37" s="611">
        <v>5</v>
      </c>
      <c r="E37" s="625">
        <f t="shared" si="0"/>
        <v>50</v>
      </c>
    </row>
    <row r="38" spans="1:5">
      <c r="A38" s="1084"/>
      <c r="B38" s="65" t="s">
        <v>77</v>
      </c>
      <c r="C38" s="616">
        <v>45</v>
      </c>
      <c r="D38" s="611">
        <v>5</v>
      </c>
      <c r="E38" s="625">
        <f t="shared" si="0"/>
        <v>50</v>
      </c>
    </row>
    <row r="39" spans="1:5">
      <c r="A39" s="1084"/>
      <c r="B39" s="65" t="s">
        <v>78</v>
      </c>
      <c r="C39" s="616">
        <v>40</v>
      </c>
      <c r="D39" s="611">
        <v>5</v>
      </c>
      <c r="E39" s="625">
        <f t="shared" si="0"/>
        <v>45</v>
      </c>
    </row>
    <row r="40" spans="1:5">
      <c r="A40" s="1084"/>
      <c r="B40" s="65" t="s">
        <v>79</v>
      </c>
      <c r="C40" s="616">
        <v>40</v>
      </c>
      <c r="D40" s="611">
        <v>5</v>
      </c>
      <c r="E40" s="625">
        <f t="shared" si="0"/>
        <v>45</v>
      </c>
    </row>
    <row r="41" spans="1:5" ht="16" thickBot="1">
      <c r="A41" s="1085"/>
      <c r="B41" s="67" t="s">
        <v>80</v>
      </c>
      <c r="C41" s="623">
        <v>40</v>
      </c>
      <c r="D41" s="618">
        <v>5</v>
      </c>
      <c r="E41" s="628">
        <f t="shared" si="0"/>
        <v>45</v>
      </c>
    </row>
    <row r="42" spans="1:5" ht="16" thickTop="1"/>
  </sheetData>
  <sheetProtection selectLockedCells="1" selectUnlockedCells="1"/>
  <mergeCells count="10">
    <mergeCell ref="E1:E2"/>
    <mergeCell ref="D1:D2"/>
    <mergeCell ref="C1:C2"/>
    <mergeCell ref="A36:A41"/>
    <mergeCell ref="A1:B2"/>
    <mergeCell ref="A3:A10"/>
    <mergeCell ref="A11:A18"/>
    <mergeCell ref="A19:A25"/>
    <mergeCell ref="A26:A29"/>
    <mergeCell ref="A30:A35"/>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A1:G89"/>
  <sheetViews>
    <sheetView view="pageLayout" topLeftCell="A4" workbookViewId="0">
      <selection activeCell="F91" sqref="F91"/>
    </sheetView>
  </sheetViews>
  <sheetFormatPr baseColWidth="10" defaultRowHeight="15" x14ac:dyDescent="0"/>
  <cols>
    <col min="1" max="1" width="5.1640625" customWidth="1"/>
    <col min="2" max="2" width="54.33203125" customWidth="1"/>
    <col min="3" max="6" width="15.1640625" customWidth="1"/>
    <col min="10" max="10" width="20.5" customWidth="1"/>
  </cols>
  <sheetData>
    <row r="1" spans="1:6" ht="78" customHeight="1" thickTop="1" thickBot="1">
      <c r="A1" s="33" t="s">
        <v>112</v>
      </c>
      <c r="B1" s="34" t="s">
        <v>113</v>
      </c>
      <c r="C1" s="128" t="s">
        <v>275</v>
      </c>
      <c r="D1" s="43" t="s">
        <v>114</v>
      </c>
      <c r="E1" s="35" t="s">
        <v>123</v>
      </c>
      <c r="F1" s="43" t="s">
        <v>406</v>
      </c>
    </row>
    <row r="2" spans="1:6" ht="16" thickTop="1">
      <c r="A2" s="36">
        <v>1</v>
      </c>
      <c r="B2" s="37" t="s">
        <v>115</v>
      </c>
      <c r="C2" s="45">
        <v>1</v>
      </c>
      <c r="D2" s="45">
        <v>320</v>
      </c>
      <c r="E2" s="38">
        <v>25</v>
      </c>
      <c r="F2" s="45"/>
    </row>
    <row r="3" spans="1:6">
      <c r="A3" s="40" t="s">
        <v>127</v>
      </c>
      <c r="B3" s="41" t="s">
        <v>161</v>
      </c>
      <c r="C3" s="130">
        <v>0.4</v>
      </c>
      <c r="D3" s="121">
        <f>0.4*D2</f>
        <v>128</v>
      </c>
      <c r="E3" s="42">
        <v>15</v>
      </c>
      <c r="F3" s="649">
        <f t="shared" ref="F3:F8" si="0">D3/$D$2</f>
        <v>0.4</v>
      </c>
    </row>
    <row r="4" spans="1:6">
      <c r="A4" s="40" t="s">
        <v>128</v>
      </c>
      <c r="B4" s="41" t="s">
        <v>129</v>
      </c>
      <c r="C4" s="130">
        <v>0.2</v>
      </c>
      <c r="D4" s="121">
        <f>0.2*D2</f>
        <v>64</v>
      </c>
      <c r="E4" s="42">
        <v>25</v>
      </c>
      <c r="F4" s="649">
        <f t="shared" si="0"/>
        <v>0.2</v>
      </c>
    </row>
    <row r="5" spans="1:6">
      <c r="A5" s="40" t="s">
        <v>130</v>
      </c>
      <c r="B5" s="41" t="s">
        <v>131</v>
      </c>
      <c r="C5" s="130">
        <v>0.32500000000000001</v>
      </c>
      <c r="D5" s="121">
        <f>0.325*D2</f>
        <v>104</v>
      </c>
      <c r="E5" s="42">
        <v>25</v>
      </c>
      <c r="F5" s="649">
        <f t="shared" si="0"/>
        <v>0.32500000000000001</v>
      </c>
    </row>
    <row r="6" spans="1:6">
      <c r="A6" s="40" t="s">
        <v>132</v>
      </c>
      <c r="B6" s="41" t="s">
        <v>133</v>
      </c>
      <c r="C6" s="130">
        <v>2.5000000000000001E-2</v>
      </c>
      <c r="D6" s="121">
        <f>0.025*D2</f>
        <v>8</v>
      </c>
      <c r="E6" s="42">
        <v>10</v>
      </c>
      <c r="F6" s="649">
        <f t="shared" si="0"/>
        <v>2.5000000000000001E-2</v>
      </c>
    </row>
    <row r="7" spans="1:6">
      <c r="A7" s="40" t="s">
        <v>134</v>
      </c>
      <c r="B7" s="41" t="s">
        <v>135</v>
      </c>
      <c r="C7" s="130">
        <v>2.5000000000000001E-2</v>
      </c>
      <c r="D7" s="121">
        <f>0.025*D2</f>
        <v>8</v>
      </c>
      <c r="E7" s="42">
        <v>5</v>
      </c>
      <c r="F7" s="649">
        <f t="shared" si="0"/>
        <v>2.5000000000000001E-2</v>
      </c>
    </row>
    <row r="8" spans="1:6">
      <c r="A8" s="40" t="s">
        <v>136</v>
      </c>
      <c r="B8" s="41" t="s">
        <v>137</v>
      </c>
      <c r="C8" s="130">
        <v>2.5000000000000001E-2</v>
      </c>
      <c r="D8" s="121">
        <f>0.025*D2</f>
        <v>8</v>
      </c>
      <c r="E8" s="42">
        <v>15</v>
      </c>
      <c r="F8" s="649">
        <f t="shared" si="0"/>
        <v>2.5000000000000001E-2</v>
      </c>
    </row>
    <row r="9" spans="1:6">
      <c r="A9" s="40"/>
      <c r="B9" s="41"/>
      <c r="C9" s="44"/>
      <c r="D9" s="44"/>
      <c r="E9" s="42"/>
      <c r="F9" s="654"/>
    </row>
    <row r="10" spans="1:6">
      <c r="A10" s="36">
        <v>2</v>
      </c>
      <c r="B10" s="37" t="s">
        <v>116</v>
      </c>
      <c r="C10" s="45">
        <v>1</v>
      </c>
      <c r="D10" s="45">
        <v>320</v>
      </c>
      <c r="E10" s="38">
        <v>25</v>
      </c>
      <c r="F10" s="650"/>
    </row>
    <row r="11" spans="1:6">
      <c r="A11" s="40" t="s">
        <v>138</v>
      </c>
      <c r="B11" s="41" t="s">
        <v>161</v>
      </c>
      <c r="C11" s="130">
        <v>0.4</v>
      </c>
      <c r="D11" s="44">
        <f>0.4*D10</f>
        <v>128</v>
      </c>
      <c r="E11" s="42">
        <v>15</v>
      </c>
      <c r="F11" s="649">
        <f t="shared" ref="F11:F16" si="1">D11/$D$10</f>
        <v>0.4</v>
      </c>
    </row>
    <row r="12" spans="1:6">
      <c r="A12" s="40" t="s">
        <v>139</v>
      </c>
      <c r="B12" s="41" t="s">
        <v>140</v>
      </c>
      <c r="C12" s="130">
        <v>0.2</v>
      </c>
      <c r="D12" s="44">
        <f>0.2*D10</f>
        <v>64</v>
      </c>
      <c r="E12" s="42">
        <v>25</v>
      </c>
      <c r="F12" s="649">
        <f t="shared" si="1"/>
        <v>0.2</v>
      </c>
    </row>
    <row r="13" spans="1:6">
      <c r="A13" s="40" t="s">
        <v>256</v>
      </c>
      <c r="B13" s="41" t="s">
        <v>131</v>
      </c>
      <c r="C13" s="44">
        <v>0.32500000000000001</v>
      </c>
      <c r="D13" s="44">
        <f>0.325*D10</f>
        <v>104</v>
      </c>
      <c r="E13" s="42">
        <v>25</v>
      </c>
      <c r="F13" s="649">
        <f t="shared" si="1"/>
        <v>0.32500000000000001</v>
      </c>
    </row>
    <row r="14" spans="1:6">
      <c r="A14" s="40" t="s">
        <v>257</v>
      </c>
      <c r="B14" s="41" t="s">
        <v>133</v>
      </c>
      <c r="C14" s="44">
        <v>2.5000000000000001E-2</v>
      </c>
      <c r="D14" s="44">
        <f>0.025*D10</f>
        <v>8</v>
      </c>
      <c r="E14" s="42">
        <v>10</v>
      </c>
      <c r="F14" s="649">
        <f t="shared" si="1"/>
        <v>2.5000000000000001E-2</v>
      </c>
    </row>
    <row r="15" spans="1:6">
      <c r="A15" s="40" t="s">
        <v>255</v>
      </c>
      <c r="B15" s="41" t="s">
        <v>135</v>
      </c>
      <c r="C15" s="44">
        <v>2.5000000000000001E-2</v>
      </c>
      <c r="D15" s="44">
        <f>0.025*D10</f>
        <v>8</v>
      </c>
      <c r="E15" s="42">
        <v>5</v>
      </c>
      <c r="F15" s="649">
        <f t="shared" si="1"/>
        <v>2.5000000000000001E-2</v>
      </c>
    </row>
    <row r="16" spans="1:6">
      <c r="A16" s="40" t="s">
        <v>258</v>
      </c>
      <c r="B16" s="41" t="s">
        <v>137</v>
      </c>
      <c r="C16" s="44">
        <v>2.5000000000000001E-2</v>
      </c>
      <c r="D16" s="44">
        <f>0.025*D10</f>
        <v>8</v>
      </c>
      <c r="E16" s="42">
        <v>15</v>
      </c>
      <c r="F16" s="649">
        <f t="shared" si="1"/>
        <v>2.5000000000000001E-2</v>
      </c>
    </row>
    <row r="17" spans="1:6">
      <c r="A17" s="40"/>
      <c r="B17" s="41"/>
      <c r="C17" s="44"/>
      <c r="D17" s="44"/>
      <c r="E17" s="42"/>
      <c r="F17" s="649"/>
    </row>
    <row r="18" spans="1:6">
      <c r="A18" s="36">
        <v>3</v>
      </c>
      <c r="B18" s="37" t="s">
        <v>117</v>
      </c>
      <c r="C18" s="45">
        <v>1</v>
      </c>
      <c r="D18" s="45">
        <v>384</v>
      </c>
      <c r="E18" s="38">
        <v>25</v>
      </c>
      <c r="F18" s="650"/>
    </row>
    <row r="19" spans="1:6">
      <c r="A19" s="40" t="s">
        <v>141</v>
      </c>
      <c r="B19" s="41" t="s">
        <v>161</v>
      </c>
      <c r="C19" s="130">
        <v>0.35</v>
      </c>
      <c r="D19" s="44">
        <f>0.35*D18</f>
        <v>134.39999999999998</v>
      </c>
      <c r="E19" s="42">
        <v>15</v>
      </c>
      <c r="F19" s="649">
        <f t="shared" ref="F19:F24" si="2">D19/$D$18</f>
        <v>0.34999999999999992</v>
      </c>
    </row>
    <row r="20" spans="1:6">
      <c r="A20" s="40" t="s">
        <v>142</v>
      </c>
      <c r="B20" s="41" t="s">
        <v>147</v>
      </c>
      <c r="C20" s="130">
        <v>0.27500000000000002</v>
      </c>
      <c r="D20" s="44">
        <f>0.275*D18</f>
        <v>105.60000000000001</v>
      </c>
      <c r="E20" s="42">
        <v>15</v>
      </c>
      <c r="F20" s="649">
        <f t="shared" si="2"/>
        <v>0.27500000000000002</v>
      </c>
    </row>
    <row r="21" spans="1:6">
      <c r="A21" s="40" t="s">
        <v>143</v>
      </c>
      <c r="B21" s="41" t="s">
        <v>131</v>
      </c>
      <c r="C21" s="130">
        <v>0.28000000000000003</v>
      </c>
      <c r="D21" s="44">
        <f>0.28*D18</f>
        <v>107.52000000000001</v>
      </c>
      <c r="E21" s="42">
        <v>25</v>
      </c>
      <c r="F21" s="649">
        <f t="shared" si="2"/>
        <v>0.28000000000000003</v>
      </c>
    </row>
    <row r="22" spans="1:6">
      <c r="A22" s="40" t="s">
        <v>144</v>
      </c>
      <c r="B22" s="41" t="s">
        <v>133</v>
      </c>
      <c r="C22" s="130">
        <v>2.5000000000000001E-2</v>
      </c>
      <c r="D22" s="44">
        <f>0.025*D18</f>
        <v>9.6000000000000014</v>
      </c>
      <c r="E22" s="42">
        <v>10</v>
      </c>
      <c r="F22" s="649">
        <f t="shared" si="2"/>
        <v>2.5000000000000005E-2</v>
      </c>
    </row>
    <row r="23" spans="1:6">
      <c r="A23" s="40" t="s">
        <v>145</v>
      </c>
      <c r="B23" s="41" t="s">
        <v>135</v>
      </c>
      <c r="C23" s="130">
        <v>0.02</v>
      </c>
      <c r="D23" s="44">
        <f>0.02*D18</f>
        <v>7.68</v>
      </c>
      <c r="E23" s="42">
        <v>5</v>
      </c>
      <c r="F23" s="649">
        <f t="shared" si="2"/>
        <v>0.02</v>
      </c>
    </row>
    <row r="24" spans="1:6">
      <c r="A24" s="40" t="s">
        <v>146</v>
      </c>
      <c r="B24" s="41" t="s">
        <v>137</v>
      </c>
      <c r="C24" s="130">
        <v>0.05</v>
      </c>
      <c r="D24" s="44">
        <f>0.05*D18</f>
        <v>19.200000000000003</v>
      </c>
      <c r="E24" s="42">
        <v>15</v>
      </c>
      <c r="F24" s="649">
        <f t="shared" si="2"/>
        <v>5.000000000000001E-2</v>
      </c>
    </row>
    <row r="25" spans="1:6">
      <c r="A25" s="40"/>
      <c r="B25" s="41"/>
      <c r="C25" s="44"/>
      <c r="D25" s="44"/>
      <c r="E25" s="42"/>
      <c r="F25" s="649"/>
    </row>
    <row r="26" spans="1:6">
      <c r="A26" s="36">
        <v>4</v>
      </c>
      <c r="B26" s="37" t="s">
        <v>118</v>
      </c>
      <c r="C26" s="45">
        <v>1</v>
      </c>
      <c r="D26" s="45">
        <v>282</v>
      </c>
      <c r="E26" s="38">
        <v>25</v>
      </c>
      <c r="F26" s="649"/>
    </row>
    <row r="27" spans="1:6">
      <c r="A27" s="40" t="s">
        <v>148</v>
      </c>
      <c r="B27" s="41" t="s">
        <v>253</v>
      </c>
      <c r="C27" s="129">
        <v>0.3</v>
      </c>
      <c r="D27" s="44">
        <f>0.3*D26</f>
        <v>84.6</v>
      </c>
      <c r="E27" s="42">
        <v>15</v>
      </c>
      <c r="F27" s="649">
        <f t="shared" ref="F27:F32" si="3">D27/$D$26</f>
        <v>0.3</v>
      </c>
    </row>
    <row r="28" spans="1:6">
      <c r="A28" s="40" t="s">
        <v>149</v>
      </c>
      <c r="B28" s="41" t="s">
        <v>129</v>
      </c>
      <c r="C28" s="129">
        <v>0.2</v>
      </c>
      <c r="D28" s="44">
        <f>0.2*D26</f>
        <v>56.400000000000006</v>
      </c>
      <c r="E28" s="42">
        <v>25</v>
      </c>
      <c r="F28" s="649">
        <f t="shared" si="3"/>
        <v>0.2</v>
      </c>
    </row>
    <row r="29" spans="1:6">
      <c r="A29" s="40" t="s">
        <v>150</v>
      </c>
      <c r="B29" s="41" t="s">
        <v>131</v>
      </c>
      <c r="C29" s="44">
        <v>0.35</v>
      </c>
      <c r="D29" s="44">
        <f>0.35*D26</f>
        <v>98.699999999999989</v>
      </c>
      <c r="E29" s="42">
        <v>25</v>
      </c>
      <c r="F29" s="649">
        <f t="shared" si="3"/>
        <v>0.35</v>
      </c>
    </row>
    <row r="30" spans="1:6">
      <c r="A30" s="40" t="s">
        <v>151</v>
      </c>
      <c r="B30" s="41" t="s">
        <v>133</v>
      </c>
      <c r="C30" s="44">
        <v>0.05</v>
      </c>
      <c r="D30" s="44">
        <f>0.05*D26</f>
        <v>14.100000000000001</v>
      </c>
      <c r="E30" s="42">
        <v>10</v>
      </c>
      <c r="F30" s="649">
        <f t="shared" si="3"/>
        <v>0.05</v>
      </c>
    </row>
    <row r="31" spans="1:6">
      <c r="A31" s="40" t="s">
        <v>152</v>
      </c>
      <c r="B31" s="41" t="s">
        <v>135</v>
      </c>
      <c r="C31" s="44">
        <v>0.05</v>
      </c>
      <c r="D31" s="44">
        <f>0.05*D26</f>
        <v>14.100000000000001</v>
      </c>
      <c r="E31" s="42">
        <v>5</v>
      </c>
      <c r="F31" s="649">
        <f t="shared" si="3"/>
        <v>0.05</v>
      </c>
    </row>
    <row r="32" spans="1:6">
      <c r="A32" s="40" t="s">
        <v>153</v>
      </c>
      <c r="B32" s="41" t="s">
        <v>137</v>
      </c>
      <c r="C32" s="44">
        <v>0.05</v>
      </c>
      <c r="D32" s="44">
        <f>0.05*D26</f>
        <v>14.100000000000001</v>
      </c>
      <c r="E32" s="42">
        <v>15</v>
      </c>
      <c r="F32" s="649">
        <f t="shared" si="3"/>
        <v>0.05</v>
      </c>
    </row>
    <row r="33" spans="1:6">
      <c r="A33" s="40"/>
      <c r="B33" s="41"/>
      <c r="C33" s="44"/>
      <c r="D33" s="44"/>
      <c r="E33" s="42"/>
      <c r="F33" s="649"/>
    </row>
    <row r="34" spans="1:6">
      <c r="A34" s="36">
        <v>5</v>
      </c>
      <c r="B34" s="37" t="s">
        <v>119</v>
      </c>
      <c r="C34" s="45">
        <v>1</v>
      </c>
      <c r="D34" s="45">
        <v>282</v>
      </c>
      <c r="E34" s="38">
        <v>25</v>
      </c>
      <c r="F34" s="649"/>
    </row>
    <row r="35" spans="1:6">
      <c r="A35" s="40" t="s">
        <v>154</v>
      </c>
      <c r="B35" s="41" t="s">
        <v>253</v>
      </c>
      <c r="C35" s="129">
        <v>0.3</v>
      </c>
      <c r="D35" s="44">
        <f>0.3*D34</f>
        <v>84.6</v>
      </c>
      <c r="E35" s="42">
        <v>15</v>
      </c>
      <c r="F35" s="649">
        <f t="shared" ref="F35:F40" si="4">D35/$D$34</f>
        <v>0.3</v>
      </c>
    </row>
    <row r="36" spans="1:6">
      <c r="A36" s="40" t="s">
        <v>155</v>
      </c>
      <c r="B36" s="41" t="s">
        <v>140</v>
      </c>
      <c r="C36" s="129">
        <v>0.2</v>
      </c>
      <c r="D36" s="44">
        <f>0.2*D34</f>
        <v>56.400000000000006</v>
      </c>
      <c r="E36" s="42">
        <v>25</v>
      </c>
      <c r="F36" s="649">
        <f t="shared" si="4"/>
        <v>0.2</v>
      </c>
    </row>
    <row r="37" spans="1:6">
      <c r="A37" s="40" t="s">
        <v>156</v>
      </c>
      <c r="B37" s="41" t="s">
        <v>131</v>
      </c>
      <c r="C37" s="44">
        <v>0.35</v>
      </c>
      <c r="D37" s="44">
        <f>0.35*D34</f>
        <v>98.699999999999989</v>
      </c>
      <c r="E37" s="42">
        <v>25</v>
      </c>
      <c r="F37" s="649">
        <f t="shared" si="4"/>
        <v>0.35</v>
      </c>
    </row>
    <row r="38" spans="1:6">
      <c r="A38" s="40" t="s">
        <v>157</v>
      </c>
      <c r="B38" s="41" t="s">
        <v>133</v>
      </c>
      <c r="C38" s="44">
        <v>0.05</v>
      </c>
      <c r="D38" s="44">
        <f>0.05*D34</f>
        <v>14.100000000000001</v>
      </c>
      <c r="E38" s="42">
        <v>10</v>
      </c>
      <c r="F38" s="649">
        <f t="shared" si="4"/>
        <v>0.05</v>
      </c>
    </row>
    <row r="39" spans="1:6">
      <c r="A39" s="40" t="s">
        <v>158</v>
      </c>
      <c r="B39" s="41" t="s">
        <v>135</v>
      </c>
      <c r="C39" s="44">
        <v>0.05</v>
      </c>
      <c r="D39" s="44">
        <f>0.05*D34</f>
        <v>14.100000000000001</v>
      </c>
      <c r="E39" s="42">
        <v>5</v>
      </c>
      <c r="F39" s="649">
        <f t="shared" si="4"/>
        <v>0.05</v>
      </c>
    </row>
    <row r="40" spans="1:6">
      <c r="A40" s="40" t="s">
        <v>159</v>
      </c>
      <c r="B40" s="41" t="s">
        <v>137</v>
      </c>
      <c r="C40" s="44">
        <v>0.05</v>
      </c>
      <c r="D40" s="44">
        <f>0.05*D34</f>
        <v>14.100000000000001</v>
      </c>
      <c r="E40" s="42">
        <v>15</v>
      </c>
      <c r="F40" s="649">
        <f t="shared" si="4"/>
        <v>0.05</v>
      </c>
    </row>
    <row r="41" spans="1:6">
      <c r="A41" s="40"/>
      <c r="B41" s="41"/>
      <c r="C41" s="129"/>
      <c r="D41" s="44"/>
      <c r="E41" s="42"/>
      <c r="F41" s="649"/>
    </row>
    <row r="42" spans="1:6">
      <c r="A42" s="36">
        <v>6</v>
      </c>
      <c r="B42" s="37" t="s">
        <v>120</v>
      </c>
      <c r="C42" s="45">
        <v>1</v>
      </c>
      <c r="D42" s="45">
        <v>346</v>
      </c>
      <c r="E42" s="38">
        <v>25</v>
      </c>
      <c r="F42" s="649"/>
    </row>
    <row r="43" spans="1:6">
      <c r="A43" s="40" t="s">
        <v>160</v>
      </c>
      <c r="B43" s="41" t="s">
        <v>253</v>
      </c>
      <c r="C43" s="129">
        <v>0.3</v>
      </c>
      <c r="D43" s="44">
        <f>0.3*D42</f>
        <v>103.8</v>
      </c>
      <c r="E43" s="42">
        <v>15</v>
      </c>
      <c r="F43" s="649">
        <f t="shared" ref="F43:F48" si="5">D43/$D$42</f>
        <v>0.3</v>
      </c>
    </row>
    <row r="44" spans="1:6">
      <c r="A44" s="40" t="s">
        <v>260</v>
      </c>
      <c r="B44" s="41" t="s">
        <v>147</v>
      </c>
      <c r="C44" s="129">
        <v>0.25</v>
      </c>
      <c r="D44" s="44">
        <f>0.25*D42</f>
        <v>86.5</v>
      </c>
      <c r="E44" s="42">
        <v>15</v>
      </c>
      <c r="F44" s="649">
        <f t="shared" si="5"/>
        <v>0.25</v>
      </c>
    </row>
    <row r="45" spans="1:6">
      <c r="A45" s="40" t="s">
        <v>261</v>
      </c>
      <c r="B45" s="41" t="s">
        <v>131</v>
      </c>
      <c r="C45" s="129">
        <v>0.3</v>
      </c>
      <c r="D45" s="44">
        <f>0.3*D42</f>
        <v>103.8</v>
      </c>
      <c r="E45" s="42">
        <v>25</v>
      </c>
      <c r="F45" s="649">
        <f t="shared" si="5"/>
        <v>0.3</v>
      </c>
    </row>
    <row r="46" spans="1:6">
      <c r="A46" s="40" t="s">
        <v>262</v>
      </c>
      <c r="B46" s="41" t="s">
        <v>133</v>
      </c>
      <c r="C46" s="129">
        <v>0.05</v>
      </c>
      <c r="D46" s="44">
        <f>0.05*D42</f>
        <v>17.3</v>
      </c>
      <c r="E46" s="42">
        <v>10</v>
      </c>
      <c r="F46" s="649">
        <f t="shared" si="5"/>
        <v>0.05</v>
      </c>
    </row>
    <row r="47" spans="1:6">
      <c r="A47" s="40" t="s">
        <v>259</v>
      </c>
      <c r="B47" s="41" t="s">
        <v>135</v>
      </c>
      <c r="C47" s="129">
        <v>0.05</v>
      </c>
      <c r="D47" s="44">
        <f>0.05*D42</f>
        <v>17.3</v>
      </c>
      <c r="E47" s="42">
        <v>5</v>
      </c>
      <c r="F47" s="649">
        <f t="shared" si="5"/>
        <v>0.05</v>
      </c>
    </row>
    <row r="48" spans="1:6">
      <c r="A48" s="40" t="s">
        <v>263</v>
      </c>
      <c r="B48" s="41" t="s">
        <v>137</v>
      </c>
      <c r="C48" s="129">
        <v>0.05</v>
      </c>
      <c r="D48" s="44">
        <f>0.05*D42</f>
        <v>17.3</v>
      </c>
      <c r="E48" s="42">
        <v>15</v>
      </c>
      <c r="F48" s="649">
        <f t="shared" si="5"/>
        <v>0.05</v>
      </c>
    </row>
    <row r="49" spans="1:6">
      <c r="A49" s="40"/>
      <c r="B49" s="41"/>
      <c r="C49" s="44"/>
      <c r="D49" s="44"/>
      <c r="E49" s="42"/>
      <c r="F49" s="649"/>
    </row>
    <row r="50" spans="1:6">
      <c r="A50" s="563">
        <v>7</v>
      </c>
      <c r="B50" s="564" t="s">
        <v>358</v>
      </c>
      <c r="C50" s="48">
        <v>1</v>
      </c>
      <c r="D50" s="48">
        <v>205</v>
      </c>
      <c r="E50" s="49">
        <v>10</v>
      </c>
      <c r="F50" s="649">
        <f>D50/D50</f>
        <v>1</v>
      </c>
    </row>
    <row r="51" spans="1:6">
      <c r="A51" s="59"/>
      <c r="B51" s="60"/>
      <c r="C51" s="61"/>
      <c r="D51" s="61"/>
      <c r="E51" s="62"/>
      <c r="F51" s="649"/>
    </row>
    <row r="52" spans="1:6">
      <c r="A52" s="36">
        <v>8</v>
      </c>
      <c r="B52" s="37" t="s">
        <v>124</v>
      </c>
      <c r="C52" s="133">
        <v>1</v>
      </c>
      <c r="D52" s="133">
        <v>384</v>
      </c>
      <c r="E52" s="38">
        <v>25</v>
      </c>
      <c r="F52" s="649"/>
    </row>
    <row r="53" spans="1:6">
      <c r="A53" s="40" t="s">
        <v>162</v>
      </c>
      <c r="B53" s="41" t="s">
        <v>252</v>
      </c>
      <c r="C53" s="130">
        <v>0.35</v>
      </c>
      <c r="D53" s="44">
        <f>0.35*D52</f>
        <v>134.39999999999998</v>
      </c>
      <c r="E53" s="42">
        <v>15</v>
      </c>
      <c r="F53" s="649">
        <f t="shared" ref="F53:F58" si="6">D53/$D$52</f>
        <v>0.34999999999999992</v>
      </c>
    </row>
    <row r="54" spans="1:6">
      <c r="A54" s="40" t="s">
        <v>163</v>
      </c>
      <c r="B54" s="41" t="s">
        <v>129</v>
      </c>
      <c r="C54" s="130">
        <v>0.27500000000000002</v>
      </c>
      <c r="D54" s="44">
        <f>0.275*D52</f>
        <v>105.60000000000001</v>
      </c>
      <c r="E54" s="42">
        <v>25</v>
      </c>
      <c r="F54" s="649">
        <f t="shared" si="6"/>
        <v>0.27500000000000002</v>
      </c>
    </row>
    <row r="55" spans="1:6">
      <c r="A55" s="40" t="s">
        <v>164</v>
      </c>
      <c r="B55" s="41" t="s">
        <v>131</v>
      </c>
      <c r="C55" s="130">
        <v>0.28000000000000003</v>
      </c>
      <c r="D55" s="44">
        <f>0.28*D52</f>
        <v>107.52000000000001</v>
      </c>
      <c r="E55" s="42">
        <v>25</v>
      </c>
      <c r="F55" s="649">
        <f t="shared" si="6"/>
        <v>0.28000000000000003</v>
      </c>
    </row>
    <row r="56" spans="1:6">
      <c r="A56" s="40" t="s">
        <v>165</v>
      </c>
      <c r="B56" s="41" t="s">
        <v>133</v>
      </c>
      <c r="C56" s="130">
        <v>2.5000000000000001E-2</v>
      </c>
      <c r="D56" s="44">
        <f>0.025*D52</f>
        <v>9.6000000000000014</v>
      </c>
      <c r="E56" s="42">
        <v>10</v>
      </c>
      <c r="F56" s="649">
        <f t="shared" si="6"/>
        <v>2.5000000000000005E-2</v>
      </c>
    </row>
    <row r="57" spans="1:6">
      <c r="A57" s="40" t="s">
        <v>166</v>
      </c>
      <c r="B57" s="41" t="s">
        <v>135</v>
      </c>
      <c r="C57" s="130">
        <v>0.02</v>
      </c>
      <c r="D57" s="44">
        <f>0.02*D52</f>
        <v>7.68</v>
      </c>
      <c r="E57" s="42">
        <v>5</v>
      </c>
      <c r="F57" s="649">
        <f t="shared" si="6"/>
        <v>0.02</v>
      </c>
    </row>
    <row r="58" spans="1:6">
      <c r="A58" s="40" t="s">
        <v>167</v>
      </c>
      <c r="B58" s="41" t="s">
        <v>137</v>
      </c>
      <c r="C58" s="130">
        <v>0.05</v>
      </c>
      <c r="D58" s="44">
        <f>0.05*D52</f>
        <v>19.200000000000003</v>
      </c>
      <c r="E58" s="42">
        <v>15</v>
      </c>
      <c r="F58" s="649">
        <f t="shared" si="6"/>
        <v>5.000000000000001E-2</v>
      </c>
    </row>
    <row r="59" spans="1:6">
      <c r="A59" s="40"/>
      <c r="B59" s="41"/>
      <c r="C59" s="44"/>
      <c r="D59" s="44"/>
      <c r="E59" s="42"/>
      <c r="F59" s="649"/>
    </row>
    <row r="60" spans="1:6">
      <c r="A60" s="36">
        <v>9</v>
      </c>
      <c r="B60" s="37" t="s">
        <v>125</v>
      </c>
      <c r="C60" s="133">
        <v>1</v>
      </c>
      <c r="D60" s="133">
        <v>384</v>
      </c>
      <c r="E60" s="567">
        <v>25</v>
      </c>
      <c r="F60" s="649"/>
    </row>
    <row r="61" spans="1:6">
      <c r="A61" s="40" t="s">
        <v>168</v>
      </c>
      <c r="B61" s="41" t="s">
        <v>252</v>
      </c>
      <c r="C61" s="130">
        <v>0.35</v>
      </c>
      <c r="D61" s="568">
        <f>0.35*D60</f>
        <v>134.39999999999998</v>
      </c>
      <c r="E61" s="569">
        <v>15</v>
      </c>
      <c r="F61" s="649">
        <f t="shared" ref="F61:F66" si="7">D61/$D$60</f>
        <v>0.34999999999999992</v>
      </c>
    </row>
    <row r="62" spans="1:6">
      <c r="A62" s="40" t="s">
        <v>169</v>
      </c>
      <c r="B62" s="41" t="s">
        <v>140</v>
      </c>
      <c r="C62" s="130">
        <v>0.27500000000000002</v>
      </c>
      <c r="D62" s="568">
        <f>0.275*D60</f>
        <v>105.60000000000001</v>
      </c>
      <c r="E62" s="569">
        <v>25</v>
      </c>
      <c r="F62" s="649">
        <f t="shared" si="7"/>
        <v>0.27500000000000002</v>
      </c>
    </row>
    <row r="63" spans="1:6">
      <c r="A63" s="40" t="s">
        <v>170</v>
      </c>
      <c r="B63" s="41" t="s">
        <v>131</v>
      </c>
      <c r="C63" s="130">
        <v>0.28000000000000003</v>
      </c>
      <c r="D63" s="568">
        <f>0.28*D60</f>
        <v>107.52000000000001</v>
      </c>
      <c r="E63" s="569">
        <v>25</v>
      </c>
      <c r="F63" s="649">
        <f t="shared" si="7"/>
        <v>0.28000000000000003</v>
      </c>
    </row>
    <row r="64" spans="1:6">
      <c r="A64" s="40" t="s">
        <v>171</v>
      </c>
      <c r="B64" s="41" t="s">
        <v>133</v>
      </c>
      <c r="C64" s="130">
        <v>2.5000000000000001E-2</v>
      </c>
      <c r="D64" s="568">
        <f>0.025*D60</f>
        <v>9.6000000000000014</v>
      </c>
      <c r="E64" s="569">
        <v>10</v>
      </c>
      <c r="F64" s="649">
        <f t="shared" si="7"/>
        <v>2.5000000000000005E-2</v>
      </c>
    </row>
    <row r="65" spans="1:6">
      <c r="A65" s="40" t="s">
        <v>172</v>
      </c>
      <c r="B65" s="41" t="s">
        <v>135</v>
      </c>
      <c r="C65" s="130">
        <v>0.02</v>
      </c>
      <c r="D65" s="568">
        <f>0.02*D60</f>
        <v>7.68</v>
      </c>
      <c r="E65" s="569">
        <v>5</v>
      </c>
      <c r="F65" s="649">
        <f t="shared" si="7"/>
        <v>0.02</v>
      </c>
    </row>
    <row r="66" spans="1:6">
      <c r="A66" s="40" t="s">
        <v>173</v>
      </c>
      <c r="B66" s="41" t="s">
        <v>137</v>
      </c>
      <c r="C66" s="130">
        <v>0.05</v>
      </c>
      <c r="D66" s="568">
        <f>0.05*D60</f>
        <v>19.200000000000003</v>
      </c>
      <c r="E66" s="569">
        <v>15</v>
      </c>
      <c r="F66" s="649">
        <f t="shared" si="7"/>
        <v>5.000000000000001E-2</v>
      </c>
    </row>
    <row r="67" spans="1:6">
      <c r="A67" s="40"/>
      <c r="B67" s="41"/>
      <c r="C67" s="44"/>
      <c r="D67" s="568"/>
      <c r="E67" s="569"/>
      <c r="F67" s="649"/>
    </row>
    <row r="68" spans="1:6">
      <c r="A68" s="36">
        <v>10</v>
      </c>
      <c r="B68" s="37" t="s">
        <v>126</v>
      </c>
      <c r="C68" s="133">
        <v>1</v>
      </c>
      <c r="D68" s="133">
        <v>448</v>
      </c>
      <c r="E68" s="567">
        <v>25</v>
      </c>
      <c r="F68" s="649"/>
    </row>
    <row r="69" spans="1:6">
      <c r="A69" s="40" t="s">
        <v>174</v>
      </c>
      <c r="B69" s="41" t="s">
        <v>252</v>
      </c>
      <c r="C69" s="130">
        <v>0.35</v>
      </c>
      <c r="D69" s="568">
        <f>0.35*D68</f>
        <v>156.79999999999998</v>
      </c>
      <c r="E69" s="569">
        <v>15</v>
      </c>
      <c r="F69" s="649">
        <f t="shared" ref="F69:F74" si="8">D69/$D$68</f>
        <v>0.35</v>
      </c>
    </row>
    <row r="70" spans="1:6">
      <c r="A70" s="40" t="s">
        <v>180</v>
      </c>
      <c r="B70" s="41" t="s">
        <v>147</v>
      </c>
      <c r="C70" s="130">
        <v>0.255</v>
      </c>
      <c r="D70" s="568">
        <f>0.255*D68</f>
        <v>114.24000000000001</v>
      </c>
      <c r="E70" s="569">
        <v>15</v>
      </c>
      <c r="F70" s="649">
        <f t="shared" si="8"/>
        <v>0.255</v>
      </c>
    </row>
    <row r="71" spans="1:6">
      <c r="A71" s="40" t="s">
        <v>181</v>
      </c>
      <c r="B71" s="41" t="s">
        <v>131</v>
      </c>
      <c r="C71" s="130">
        <v>0.3</v>
      </c>
      <c r="D71" s="568">
        <f>0.3*D68</f>
        <v>134.4</v>
      </c>
      <c r="E71" s="569">
        <v>25</v>
      </c>
      <c r="F71" s="649">
        <f t="shared" si="8"/>
        <v>0.3</v>
      </c>
    </row>
    <row r="72" spans="1:6">
      <c r="A72" s="40" t="s">
        <v>182</v>
      </c>
      <c r="B72" s="41" t="s">
        <v>133</v>
      </c>
      <c r="C72" s="130">
        <v>2.5000000000000001E-2</v>
      </c>
      <c r="D72" s="568">
        <f>0.025*D68</f>
        <v>11.200000000000001</v>
      </c>
      <c r="E72" s="569">
        <v>10</v>
      </c>
      <c r="F72" s="649">
        <f t="shared" si="8"/>
        <v>2.5000000000000001E-2</v>
      </c>
    </row>
    <row r="73" spans="1:6">
      <c r="A73" s="40" t="s">
        <v>183</v>
      </c>
      <c r="B73" s="41" t="s">
        <v>135</v>
      </c>
      <c r="C73" s="130">
        <v>0.02</v>
      </c>
      <c r="D73" s="568">
        <f>0.02*D68</f>
        <v>8.9600000000000009</v>
      </c>
      <c r="E73" s="569">
        <v>5</v>
      </c>
      <c r="F73" s="649">
        <f t="shared" si="8"/>
        <v>0.02</v>
      </c>
    </row>
    <row r="74" spans="1:6">
      <c r="A74" s="40" t="s">
        <v>184</v>
      </c>
      <c r="B74" s="41" t="s">
        <v>137</v>
      </c>
      <c r="C74" s="130">
        <v>0.05</v>
      </c>
      <c r="D74" s="568">
        <f>0.05*D68</f>
        <v>22.400000000000002</v>
      </c>
      <c r="E74" s="569">
        <v>15</v>
      </c>
      <c r="F74" s="649">
        <f t="shared" si="8"/>
        <v>0.05</v>
      </c>
    </row>
    <row r="75" spans="1:6">
      <c r="A75" s="40"/>
      <c r="B75" s="41"/>
      <c r="C75" s="44"/>
      <c r="D75" s="568"/>
      <c r="E75" s="569"/>
      <c r="F75" s="649"/>
    </row>
    <row r="76" spans="1:6">
      <c r="A76" s="36">
        <v>11</v>
      </c>
      <c r="B76" s="47" t="s">
        <v>122</v>
      </c>
      <c r="C76" s="48">
        <v>1</v>
      </c>
      <c r="D76" s="570">
        <v>448</v>
      </c>
      <c r="E76" s="571">
        <v>25</v>
      </c>
      <c r="F76" s="649"/>
    </row>
    <row r="77" spans="1:6">
      <c r="A77" s="40" t="s">
        <v>175</v>
      </c>
      <c r="B77" s="50" t="s">
        <v>186</v>
      </c>
      <c r="C77" s="131">
        <v>0.3</v>
      </c>
      <c r="D77" s="572">
        <f>0.3*D76</f>
        <v>134.4</v>
      </c>
      <c r="E77" s="573">
        <v>15</v>
      </c>
      <c r="F77" s="649">
        <f>D77/$D$76</f>
        <v>0.3</v>
      </c>
    </row>
    <row r="78" spans="1:6">
      <c r="A78" s="40" t="s">
        <v>176</v>
      </c>
      <c r="B78" s="60" t="s">
        <v>185</v>
      </c>
      <c r="C78" s="132">
        <v>0.4</v>
      </c>
      <c r="D78" s="574">
        <f>0.4*D76</f>
        <v>179.20000000000002</v>
      </c>
      <c r="E78" s="575">
        <v>25</v>
      </c>
      <c r="F78" s="649">
        <f>D78/$D$76</f>
        <v>0.4</v>
      </c>
    </row>
    <row r="79" spans="1:6">
      <c r="A79" s="40" t="s">
        <v>177</v>
      </c>
      <c r="B79" s="60" t="s">
        <v>133</v>
      </c>
      <c r="C79" s="132">
        <v>0.05</v>
      </c>
      <c r="D79" s="574">
        <f>0.05*D76</f>
        <v>22.400000000000002</v>
      </c>
      <c r="E79" s="575">
        <v>10</v>
      </c>
      <c r="F79" s="649">
        <f>D79/$D$76</f>
        <v>0.05</v>
      </c>
    </row>
    <row r="80" spans="1:6">
      <c r="A80" s="40" t="s">
        <v>178</v>
      </c>
      <c r="B80" s="41" t="s">
        <v>135</v>
      </c>
      <c r="C80" s="129">
        <v>0.05</v>
      </c>
      <c r="D80" s="568">
        <f>0.05*D76</f>
        <v>22.400000000000002</v>
      </c>
      <c r="E80" s="569">
        <v>5</v>
      </c>
      <c r="F80" s="649">
        <f>D80/$D$76</f>
        <v>0.05</v>
      </c>
    </row>
    <row r="81" spans="1:7">
      <c r="A81" s="40" t="s">
        <v>179</v>
      </c>
      <c r="B81" s="60" t="s">
        <v>254</v>
      </c>
      <c r="C81" s="132">
        <v>0.2</v>
      </c>
      <c r="D81" s="574">
        <f>0.2*D76</f>
        <v>89.600000000000009</v>
      </c>
      <c r="E81" s="575">
        <v>20</v>
      </c>
      <c r="F81" s="649">
        <f>D81/$D$76</f>
        <v>0.2</v>
      </c>
      <c r="G81" s="656"/>
    </row>
    <row r="82" spans="1:7">
      <c r="A82" s="40"/>
      <c r="B82" s="60"/>
      <c r="C82" s="61"/>
      <c r="D82" s="61"/>
      <c r="E82" s="62"/>
      <c r="F82" s="649"/>
    </row>
    <row r="83" spans="1:7">
      <c r="A83" s="46">
        <v>12</v>
      </c>
      <c r="B83" s="47" t="s">
        <v>283</v>
      </c>
      <c r="C83" s="48">
        <v>1</v>
      </c>
      <c r="D83" s="48">
        <v>282</v>
      </c>
      <c r="E83" s="49">
        <v>15</v>
      </c>
      <c r="F83" s="649">
        <f>D83/D83</f>
        <v>1</v>
      </c>
    </row>
    <row r="84" spans="1:7">
      <c r="A84" s="59"/>
      <c r="B84" s="60"/>
      <c r="C84" s="61"/>
      <c r="D84" s="61"/>
      <c r="E84" s="62"/>
      <c r="F84" s="649"/>
    </row>
    <row r="85" spans="1:7">
      <c r="A85" s="563">
        <v>13</v>
      </c>
      <c r="B85" s="564" t="s">
        <v>357</v>
      </c>
      <c r="C85" s="565">
        <v>1</v>
      </c>
      <c r="D85" s="565">
        <v>366</v>
      </c>
      <c r="E85" s="566">
        <v>15</v>
      </c>
      <c r="F85" s="649">
        <f>D85/D85</f>
        <v>1</v>
      </c>
    </row>
    <row r="86" spans="1:7">
      <c r="A86" s="46"/>
      <c r="B86" s="47"/>
      <c r="C86" s="48"/>
      <c r="D86" s="48"/>
      <c r="E86" s="49"/>
      <c r="F86" s="649"/>
    </row>
    <row r="87" spans="1:7">
      <c r="A87" s="46">
        <v>14</v>
      </c>
      <c r="B87" s="47" t="s">
        <v>121</v>
      </c>
      <c r="C87" s="48">
        <v>1</v>
      </c>
      <c r="D87" s="48">
        <v>77</v>
      </c>
      <c r="E87" s="49">
        <v>15</v>
      </c>
      <c r="F87" s="649">
        <f>D87/D87</f>
        <v>1</v>
      </c>
    </row>
    <row r="88" spans="1:7" ht="16" thickBot="1">
      <c r="A88" s="51"/>
      <c r="B88" s="52"/>
      <c r="C88" s="53"/>
      <c r="D88" s="53"/>
      <c r="E88" s="54"/>
      <c r="F88" s="54"/>
    </row>
    <row r="89" spans="1:7" ht="16" thickTop="1"/>
  </sheetData>
  <sheetProtection selectLockedCells="1" selectUnlockedCells="1"/>
  <phoneticPr fontId="9" type="noConversion"/>
  <pageMargins left="0.58000000000000007" right="0.58000000000000007" top="0.4861111111111111" bottom="0.34722222222222221" header="0.43055555555555558" footer="0.34722222222222221"/>
  <pageSetup paperSize="9" orientation="landscape" horizontalDpi="4294967292" verticalDpi="4294967292"/>
  <extLst>
    <ext xmlns:mx="http://schemas.microsoft.com/office/mac/excel/2008/main" uri="{64002731-A6B0-56B0-2670-7721B7C09600}">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A1:C24"/>
  <sheetViews>
    <sheetView workbookViewId="0">
      <selection activeCell="G5" sqref="G5"/>
    </sheetView>
  </sheetViews>
  <sheetFormatPr baseColWidth="10" defaultRowHeight="15" x14ac:dyDescent="0"/>
  <cols>
    <col min="1" max="1" width="24.83203125" style="1" customWidth="1"/>
    <col min="2" max="3" width="11.6640625" style="1" customWidth="1"/>
    <col min="4" max="4" width="11.6640625" customWidth="1"/>
  </cols>
  <sheetData>
    <row r="1" spans="1:3" ht="56" thickTop="1" thickBot="1">
      <c r="A1" s="12" t="s">
        <v>39</v>
      </c>
      <c r="B1" s="11" t="s">
        <v>459</v>
      </c>
      <c r="C1" s="703" t="s">
        <v>84</v>
      </c>
    </row>
    <row r="2" spans="1:3" ht="47" thickTop="1" thickBot="1">
      <c r="A2" s="140" t="s">
        <v>108</v>
      </c>
      <c r="B2" s="146">
        <v>0.85</v>
      </c>
      <c r="C2" s="704">
        <v>0.95</v>
      </c>
    </row>
    <row r="3" spans="1:3" ht="46" thickBot="1">
      <c r="A3" s="141" t="s">
        <v>109</v>
      </c>
      <c r="B3" s="147">
        <v>0.95</v>
      </c>
      <c r="C3" s="705">
        <v>0.95</v>
      </c>
    </row>
    <row r="4" spans="1:3" ht="45">
      <c r="A4" s="142" t="s">
        <v>101</v>
      </c>
      <c r="B4" s="144">
        <v>3.5</v>
      </c>
      <c r="C4" s="706">
        <v>0.95</v>
      </c>
    </row>
    <row r="5" spans="1:3" ht="46" thickBot="1">
      <c r="A5" s="143" t="s">
        <v>102</v>
      </c>
      <c r="B5" s="145">
        <v>2.8</v>
      </c>
      <c r="C5" s="707">
        <v>0.95</v>
      </c>
    </row>
    <row r="6" spans="1:3" ht="30">
      <c r="A6" s="142" t="s">
        <v>103</v>
      </c>
      <c r="B6" s="144">
        <v>4</v>
      </c>
      <c r="C6" s="706">
        <v>0.95</v>
      </c>
    </row>
    <row r="7" spans="1:3" ht="31" thickBot="1">
      <c r="A7" s="143" t="s">
        <v>104</v>
      </c>
      <c r="B7" s="145">
        <v>3</v>
      </c>
      <c r="C7" s="707">
        <v>0.95</v>
      </c>
    </row>
    <row r="8" spans="1:3" ht="30">
      <c r="A8" s="142" t="s">
        <v>106</v>
      </c>
      <c r="B8" s="144">
        <v>3.5</v>
      </c>
      <c r="C8" s="708">
        <v>0.9</v>
      </c>
    </row>
    <row r="9" spans="1:3" ht="31" thickBot="1">
      <c r="A9" s="143" t="s">
        <v>107</v>
      </c>
      <c r="B9" s="145">
        <v>2.8</v>
      </c>
      <c r="C9" s="709">
        <v>0.9</v>
      </c>
    </row>
    <row r="10" spans="1:3" ht="30">
      <c r="A10" s="142" t="s">
        <v>279</v>
      </c>
      <c r="B10" s="144">
        <v>3.5</v>
      </c>
      <c r="C10" s="706">
        <v>0.93</v>
      </c>
    </row>
    <row r="11" spans="1:3" ht="31" thickBot="1">
      <c r="A11" s="143" t="s">
        <v>280</v>
      </c>
      <c r="B11" s="145">
        <v>2.8</v>
      </c>
      <c r="C11" s="707">
        <v>0.93</v>
      </c>
    </row>
    <row r="12" spans="1:3" ht="30">
      <c r="A12" s="142" t="s">
        <v>281</v>
      </c>
      <c r="B12" s="144">
        <v>3.5</v>
      </c>
      <c r="C12" s="706">
        <v>0.95</v>
      </c>
    </row>
    <row r="13" spans="1:3" ht="31" thickBot="1">
      <c r="A13" s="143" t="s">
        <v>282</v>
      </c>
      <c r="B13" s="145">
        <v>2.8</v>
      </c>
      <c r="C13" s="707">
        <v>0.95</v>
      </c>
    </row>
    <row r="14" spans="1:3" ht="16" thickBot="1">
      <c r="A14" s="88" t="s">
        <v>105</v>
      </c>
      <c r="B14" s="148">
        <v>1</v>
      </c>
      <c r="C14" s="137">
        <v>0.93</v>
      </c>
    </row>
    <row r="15" spans="1:3" ht="16" thickTop="1">
      <c r="A15"/>
      <c r="B15"/>
      <c r="C15"/>
    </row>
    <row r="16" spans="1:3">
      <c r="A16"/>
      <c r="B16"/>
      <c r="C16"/>
    </row>
    <row r="17" spans="1:3">
      <c r="A17"/>
      <c r="B17"/>
      <c r="C17"/>
    </row>
    <row r="18" spans="1:3">
      <c r="A18"/>
      <c r="B18"/>
      <c r="C18"/>
    </row>
    <row r="19" spans="1:3">
      <c r="A19"/>
      <c r="B19"/>
      <c r="C19"/>
    </row>
    <row r="20" spans="1:3">
      <c r="A20"/>
      <c r="B20"/>
      <c r="C20"/>
    </row>
    <row r="21" spans="1:3">
      <c r="A21"/>
      <c r="B21"/>
      <c r="C21"/>
    </row>
    <row r="22" spans="1:3">
      <c r="A22"/>
      <c r="B22"/>
      <c r="C22"/>
    </row>
    <row r="23" spans="1:3">
      <c r="A23"/>
      <c r="B23"/>
      <c r="C23"/>
    </row>
    <row r="24" spans="1:3">
      <c r="A24"/>
      <c r="B24"/>
      <c r="C24"/>
    </row>
  </sheetData>
  <sheetProtection selectLockedCells="1" selectUnlockedCells="1"/>
  <phoneticPr fontId="25"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Inputs</vt:lpstr>
      <vt:lpstr>Results</vt:lpstr>
      <vt:lpstr>NPV Summary</vt:lpstr>
      <vt:lpstr>NPV Analysis</vt:lpstr>
      <vt:lpstr>Regional Fuel Costs</vt:lpstr>
      <vt:lpstr>Regional Energy Requirements</vt:lpstr>
      <vt:lpstr>Capital Cost Structure</vt:lpstr>
      <vt:lpstr>System Efficiencies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O'Meara</dc:creator>
  <cp:lastModifiedBy>Robert O'Meara</cp:lastModifiedBy>
  <cp:lastPrinted>2016-12-08T01:34:15Z</cp:lastPrinted>
  <dcterms:created xsi:type="dcterms:W3CDTF">2016-10-11T00:47:01Z</dcterms:created>
  <dcterms:modified xsi:type="dcterms:W3CDTF">2022-02-01T22:47:16Z</dcterms:modified>
</cp:coreProperties>
</file>